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5" windowWidth="11880" windowHeight="9120" activeTab="0"/>
  </bookViews>
  <sheets>
    <sheet name="Б.Серпуховская 14" sheetId="1" r:id="rId1"/>
  </sheets>
  <definedNames/>
  <calcPr fullCalcOnLoad="1"/>
</workbook>
</file>

<file path=xl/sharedStrings.xml><?xml version="1.0" encoding="utf-8"?>
<sst xmlns="http://schemas.openxmlformats.org/spreadsheetml/2006/main" count="265" uniqueCount="211">
  <si>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</si>
  <si>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</si>
  <si>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</si>
  <si>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</si>
  <si>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</si>
  <si>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</si>
  <si>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</si>
  <si>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</si>
  <si>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</si>
  <si>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</si>
  <si>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</si>
  <si>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</si>
  <si>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</si>
  <si>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</si>
  <si>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</si>
  <si>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</si>
  <si>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</si>
  <si>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</si>
  <si>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</si>
  <si>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</si>
  <si>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</si>
  <si>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</si>
  <si>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</si>
  <si>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</si>
  <si>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</si>
  <si>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</si>
  <si>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</si>
  <si>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</si>
  <si>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</si>
  <si>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</si>
  <si>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</si>
  <si>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</si>
  <si>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</si>
  <si>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</si>
  <si>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</si>
  <si>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</si>
  <si>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</si>
  <si>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</si>
  <si>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</si>
  <si>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</si>
  <si>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</si>
  <si>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</si>
  <si>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</si>
  <si>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</si>
  <si>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</si>
  <si>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</si>
  <si>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</si>
  <si>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</si>
  <si>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</si>
  <si>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</si>
  <si>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</si>
  <si>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</si>
  <si>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</si>
  <si>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</si>
  <si>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</si>
  <si>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</si>
  <si>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</si>
  <si>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</si>
  <si>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</si>
  <si>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</si>
  <si>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</si>
  <si>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</si>
  <si>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</si>
  <si>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</si>
  <si>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</si>
  <si>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</si>
  <si>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</si>
  <si>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</si>
  <si>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</si>
  <si>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</si>
  <si>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</si>
  <si>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</si>
  <si>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</si>
  <si>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</si>
  <si>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</si>
  <si>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</si>
  <si>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</si>
  <si>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</si>
  <si>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</si>
  <si>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</si>
  <si>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</si>
  <si>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</si>
  <si>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</si>
  <si>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</si>
  <si>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</si>
  <si>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</si>
  <si>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</si>
  <si>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</si>
  <si>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</si>
  <si>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</si>
  <si>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</si>
  <si>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</si>
  <si>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</si>
  <si>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</si>
  <si>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</si>
  <si>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</si>
  <si>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</si>
  <si>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</si>
  <si>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</si>
  <si>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</si>
  <si>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</si>
  <si>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</si>
  <si>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</si>
  <si>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</si>
  <si>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</si>
  <si>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</si>
  <si>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</si>
  <si>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</si>
  <si>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</si>
  <si>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</si>
  <si>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</si>
  <si>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</si>
  <si>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</si>
  <si>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</si>
  <si>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</si>
  <si>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</si>
  <si>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</si>
  <si>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</si>
  <si>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</si>
  <si>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</si>
  <si>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</si>
  <si>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</si>
  <si>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</si>
  <si>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</si>
  <si>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</si>
  <si>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</si>
  <si>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</si>
  <si>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</si>
  <si>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</si>
  <si>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</si>
  <si>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</si>
  <si>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</si>
  <si>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</si>
  <si>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</si>
  <si>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Влажное подметание лестничных клеток и маршей нижних 3 этажей при наличии  мусопровода</t>
  </si>
  <si>
    <t>Влажное подметание лестничных клеток и маршей выше 3 этажа при наличии мусопровода</t>
  </si>
  <si>
    <t>Мытьё лестничных площадок и маршей нижних 3 этажей при наличии  мусоропровода</t>
  </si>
  <si>
    <t>Мытьё лестничных площадок и маршей выше 3 этажа при наличии мусоропровода</t>
  </si>
  <si>
    <t xml:space="preserve">Ф100 -лежачка чуг </t>
  </si>
  <si>
    <t>4</t>
  </si>
  <si>
    <t>вентиль - 70шт</t>
  </si>
  <si>
    <t>кран - 70шт</t>
  </si>
  <si>
    <t>вентиль -30шт</t>
  </si>
  <si>
    <t>кран  -30шт</t>
  </si>
  <si>
    <t>вентиль-22шт</t>
  </si>
  <si>
    <t>кран-22шт</t>
  </si>
  <si>
    <t>ЯНВАРЬ</t>
  </si>
  <si>
    <t>шт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</si>
  <si>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</si>
  <si>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</si>
  <si>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</si>
  <si>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</si>
  <si>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</si>
  <si>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</si>
  <si>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</si>
  <si>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</si>
  <si>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</si>
  <si>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</si>
  <si>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</si>
  <si>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</si>
  <si>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</si>
  <si>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м</t>
  </si>
  <si>
    <t>рул.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</si>
  <si>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</si>
  <si>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</si>
  <si>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</si>
  <si>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</si>
  <si>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</si>
  <si>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</si>
  <si>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</si>
  <si>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</si>
  <si>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</si>
  <si>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</si>
  <si>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</si>
  <si>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РАЗНОЕ(лампочки, остекление и др.)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</si>
  <si>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</si>
  <si>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</si>
  <si>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</si>
  <si>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</si>
  <si>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</si>
  <si>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</si>
  <si>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</si>
  <si>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</si>
  <si>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</si>
  <si>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ООО "ЭО Русь" измерение сопротивления "фаза-нуль"</t>
  </si>
  <si>
    <t>ООО "ЭО Русь" техосвидетельствование лифтов</t>
  </si>
  <si>
    <t>кг</t>
  </si>
  <si>
    <t>ВСЕГО за ГОД</t>
  </si>
  <si>
    <t>отчет по затратам на содержание и ремонт общего имущества многоквартирного дома по адресу: ул. Б.Серпуховская, д. 14 за 2012 год</t>
  </si>
  <si>
    <t>Начислено за 2006-2011 годы</t>
  </si>
  <si>
    <t>Начислено за 2012 год</t>
  </si>
  <si>
    <t>автомат 2 П 25А С ВА</t>
  </si>
  <si>
    <t>стекло 4*2550*1605</t>
  </si>
  <si>
    <t>гидростеклоизол ХКП</t>
  </si>
  <si>
    <t>цемент М500</t>
  </si>
  <si>
    <t>пропан 50 лит.21кг</t>
  </si>
  <si>
    <t>битум строит.</t>
  </si>
  <si>
    <t>бал.</t>
  </si>
  <si>
    <t>провод КСПВ 2*0,5 мм</t>
  </si>
  <si>
    <t>краска в/д 2.7 л.</t>
  </si>
  <si>
    <t>ламинат</t>
  </si>
  <si>
    <t>краска в/дТикукурила 12,9 л.</t>
  </si>
  <si>
    <t>краска в/дТикукурила 7,9 л.</t>
  </si>
  <si>
    <t>колеровка</t>
  </si>
  <si>
    <t>л</t>
  </si>
  <si>
    <t>урна метал.уличная</t>
  </si>
  <si>
    <t>эмаль пф 115 ярко-зеленая</t>
  </si>
  <si>
    <t>замок почтовый</t>
  </si>
  <si>
    <t>почтовый ящик(36шт)</t>
  </si>
  <si>
    <t>секц</t>
  </si>
  <si>
    <t>ДОХОДЫ ДОМА ЗА ПЕРИОД  ________2012 год______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</si>
</sst>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175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72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PageLayoutView="0" workbookViewId="0" topLeftCell="A109">
      <selection activeCell="A159" sqref="A111:IV159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23" t="s">
        <v>188</v>
      </c>
      <c r="B1" s="123"/>
      <c r="C1" s="123"/>
      <c r="D1" s="123"/>
      <c r="E1" s="123"/>
      <c r="F1" s="123"/>
      <c r="G1" s="123"/>
      <c r="I1"/>
    </row>
    <row r="2" spans="1:12" ht="12.75">
      <c r="A2" t="s">
        <v>0</v>
      </c>
      <c r="C2">
        <v>1972</v>
      </c>
      <c r="D2" t="s">
        <v>1</v>
      </c>
      <c r="F2">
        <v>9</v>
      </c>
      <c r="G2" t="s">
        <v>2</v>
      </c>
      <c r="H2" s="31">
        <v>216</v>
      </c>
      <c r="I2" s="2"/>
      <c r="J2" s="3" t="s">
        <v>175</v>
      </c>
      <c r="K2" s="2" t="s">
        <v>3</v>
      </c>
      <c r="L2" s="3" t="s">
        <v>4</v>
      </c>
    </row>
    <row r="3" spans="1:12" ht="12.75">
      <c r="A3" t="s">
        <v>5</v>
      </c>
      <c r="C3">
        <v>11</v>
      </c>
      <c r="D3" t="s">
        <v>6</v>
      </c>
      <c r="F3">
        <v>4</v>
      </c>
      <c r="G3" s="124" t="s">
        <v>7</v>
      </c>
      <c r="H3" s="127">
        <v>0</v>
      </c>
      <c r="I3" s="2" t="s">
        <v>8</v>
      </c>
      <c r="J3" s="2">
        <v>137.6</v>
      </c>
      <c r="K3" s="52"/>
      <c r="L3" s="52" t="s">
        <v>140</v>
      </c>
    </row>
    <row r="4" spans="1:12" ht="12.75">
      <c r="A4" t="s">
        <v>9</v>
      </c>
      <c r="C4" t="s">
        <v>133</v>
      </c>
      <c r="D4" t="s">
        <v>10</v>
      </c>
      <c r="F4" s="44" t="s">
        <v>139</v>
      </c>
      <c r="G4" s="125"/>
      <c r="H4" s="128"/>
      <c r="I4" s="117"/>
      <c r="J4" s="118"/>
      <c r="K4" s="52"/>
      <c r="L4" s="52" t="s">
        <v>141</v>
      </c>
    </row>
    <row r="5" spans="1:12" ht="12.75">
      <c r="A5" t="s">
        <v>11</v>
      </c>
      <c r="C5" t="s">
        <v>12</v>
      </c>
      <c r="D5" t="s">
        <v>13</v>
      </c>
      <c r="F5">
        <v>4</v>
      </c>
      <c r="G5" s="126"/>
      <c r="H5" s="129"/>
      <c r="I5" s="119"/>
      <c r="J5" s="120"/>
      <c r="K5" s="52"/>
      <c r="L5" s="53"/>
    </row>
    <row r="6" spans="9:12" ht="12.75">
      <c r="I6" s="2" t="s">
        <v>14</v>
      </c>
      <c r="J6" s="2">
        <v>109</v>
      </c>
      <c r="K6" s="53"/>
      <c r="L6" s="54" t="s">
        <v>142</v>
      </c>
    </row>
    <row r="7" spans="1:12" ht="12.75">
      <c r="A7" s="109" t="s">
        <v>15</v>
      </c>
      <c r="B7" s="111"/>
      <c r="C7" s="1" t="s">
        <v>16</v>
      </c>
      <c r="D7" s="109" t="s">
        <v>17</v>
      </c>
      <c r="E7" s="110"/>
      <c r="F7" s="111"/>
      <c r="G7" s="1" t="s">
        <v>16</v>
      </c>
      <c r="I7" s="117"/>
      <c r="J7" s="118"/>
      <c r="K7" s="115"/>
      <c r="L7" s="52" t="s">
        <v>143</v>
      </c>
    </row>
    <row r="8" spans="1:12" ht="12.75">
      <c r="A8" s="73" t="s">
        <v>18</v>
      </c>
      <c r="B8" s="73"/>
      <c r="C8">
        <v>8766.2</v>
      </c>
      <c r="D8" s="109" t="s">
        <v>19</v>
      </c>
      <c r="E8" s="110"/>
      <c r="F8" s="111"/>
      <c r="G8" s="45">
        <v>658</v>
      </c>
      <c r="I8" s="119"/>
      <c r="J8" s="120"/>
      <c r="K8" s="116"/>
      <c r="L8" s="52"/>
    </row>
    <row r="9" spans="1:12" ht="12.75">
      <c r="A9" s="73" t="s">
        <v>20</v>
      </c>
      <c r="B9" s="73"/>
      <c r="C9">
        <v>5422.9</v>
      </c>
      <c r="D9" s="109" t="s">
        <v>21</v>
      </c>
      <c r="E9" s="110"/>
      <c r="F9" s="111"/>
      <c r="G9" s="51">
        <v>1575</v>
      </c>
      <c r="I9" s="2" t="s">
        <v>22</v>
      </c>
      <c r="J9" s="2">
        <v>109</v>
      </c>
      <c r="K9" s="52"/>
      <c r="L9" s="52" t="s">
        <v>144</v>
      </c>
    </row>
    <row r="10" spans="1:12" ht="12.75">
      <c r="A10" s="73" t="s">
        <v>23</v>
      </c>
      <c r="B10" s="73"/>
      <c r="C10" s="45">
        <v>3343.5</v>
      </c>
      <c r="D10" s="109" t="s">
        <v>24</v>
      </c>
      <c r="E10" s="110"/>
      <c r="F10" s="111"/>
      <c r="G10">
        <f>678+2622</f>
        <v>3300</v>
      </c>
      <c r="I10" s="121"/>
      <c r="J10" s="121"/>
      <c r="K10" s="115"/>
      <c r="L10" s="52" t="s">
        <v>145</v>
      </c>
    </row>
    <row r="11" spans="1:12" ht="12.75" customHeight="1">
      <c r="A11" s="73" t="s">
        <v>25</v>
      </c>
      <c r="B11" s="73"/>
      <c r="D11" s="109" t="s">
        <v>26</v>
      </c>
      <c r="E11" s="110"/>
      <c r="F11" s="111"/>
      <c r="I11" s="121"/>
      <c r="J11" s="121"/>
      <c r="K11" s="122"/>
      <c r="L11" s="52"/>
    </row>
    <row r="12" spans="1:12" ht="12.75">
      <c r="A12" s="73" t="s">
        <v>27</v>
      </c>
      <c r="B12" s="73"/>
      <c r="C12" s="5">
        <v>1140</v>
      </c>
      <c r="D12" s="109" t="s">
        <v>28</v>
      </c>
      <c r="E12" s="110"/>
      <c r="F12" s="111"/>
      <c r="G12">
        <v>5224</v>
      </c>
      <c r="I12" s="121"/>
      <c r="J12" s="121"/>
      <c r="K12" s="122"/>
      <c r="L12" s="52"/>
    </row>
    <row r="13" spans="1:12" ht="12.75">
      <c r="A13" s="90" t="s">
        <v>29</v>
      </c>
      <c r="B13" s="90"/>
      <c r="C13" s="5">
        <v>1630</v>
      </c>
      <c r="D13" s="109" t="s">
        <v>30</v>
      </c>
      <c r="E13" s="110"/>
      <c r="F13" s="111"/>
      <c r="I13" s="4"/>
      <c r="J13" s="2" t="s">
        <v>175</v>
      </c>
      <c r="K13" s="55" t="s">
        <v>31</v>
      </c>
      <c r="L13" s="55" t="s">
        <v>32</v>
      </c>
    </row>
    <row r="14" spans="4:12" ht="12.75">
      <c r="D14" s="109" t="s">
        <v>33</v>
      </c>
      <c r="E14" s="110"/>
      <c r="F14" s="111"/>
      <c r="G14" s="7">
        <v>890</v>
      </c>
      <c r="I14" s="2" t="s">
        <v>34</v>
      </c>
      <c r="J14" s="8">
        <v>109.6</v>
      </c>
      <c r="K14" s="112" t="s">
        <v>138</v>
      </c>
      <c r="L14" s="3"/>
    </row>
    <row r="15" spans="6:12" ht="12.75">
      <c r="F15" s="9" t="s">
        <v>35</v>
      </c>
      <c r="G15" s="56">
        <v>26.23</v>
      </c>
      <c r="I15" s="67"/>
      <c r="J15" s="114"/>
      <c r="K15" s="113"/>
      <c r="L15" s="3"/>
    </row>
    <row r="16" ht="12.75">
      <c r="B16" t="s">
        <v>210</v>
      </c>
    </row>
    <row r="18" spans="1:9" ht="39.75" customHeight="1">
      <c r="A18" s="108" t="s">
        <v>36</v>
      </c>
      <c r="B18" s="108"/>
      <c r="C18" s="90" t="s">
        <v>176</v>
      </c>
      <c r="D18" s="90"/>
      <c r="E18" s="90"/>
      <c r="F18" s="94" t="s">
        <v>37</v>
      </c>
      <c r="G18" s="95"/>
      <c r="H18" s="88"/>
      <c r="I18" s="10"/>
    </row>
    <row r="19" spans="1:8" ht="31.5" customHeight="1">
      <c r="A19" s="108"/>
      <c r="B19" s="108"/>
      <c r="C19" s="94" t="s">
        <v>38</v>
      </c>
      <c r="D19" s="88"/>
      <c r="E19" s="11" t="s">
        <v>39</v>
      </c>
      <c r="F19" s="94" t="s">
        <v>38</v>
      </c>
      <c r="G19" s="88"/>
      <c r="H19" s="32" t="s">
        <v>40</v>
      </c>
    </row>
    <row r="20" spans="1:8" ht="25.5" customHeight="1">
      <c r="A20" s="81" t="s">
        <v>41</v>
      </c>
      <c r="B20" s="81"/>
      <c r="C20" s="78">
        <f>C8*12*G15</f>
        <v>2759249.112</v>
      </c>
      <c r="D20" s="107"/>
      <c r="E20" s="13">
        <f>(C9*1.3*6)+(C9*1.37*6)</f>
        <v>86874.85800000001</v>
      </c>
      <c r="F20" s="78">
        <f>SUM(F23:H34)</f>
        <v>2509029.17</v>
      </c>
      <c r="G20" s="107"/>
      <c r="H20" s="57">
        <f>(F23+F24+F25+F26+F27+F28+F29+F30+F31)*100/(C25+C23+C24+C26+C27+C28+C29+C30+C31)</f>
        <v>84.7089618048741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90" t="s">
        <v>177</v>
      </c>
      <c r="D22" s="90"/>
      <c r="E22" s="90"/>
      <c r="F22" s="103" t="s">
        <v>42</v>
      </c>
      <c r="G22" s="103"/>
      <c r="H22" s="103"/>
      <c r="I22" s="13" t="s">
        <v>40</v>
      </c>
    </row>
    <row r="23" spans="1:9" ht="12.75">
      <c r="A23" s="90" t="s">
        <v>43</v>
      </c>
      <c r="B23" s="90"/>
      <c r="C23" s="103">
        <f>(C20+E20)/12</f>
        <v>237176.99750000003</v>
      </c>
      <c r="D23" s="103"/>
      <c r="E23" s="103"/>
      <c r="F23" s="103">
        <v>167160.26</v>
      </c>
      <c r="G23" s="103"/>
      <c r="H23" s="103"/>
      <c r="I23" s="35">
        <f>F23*100%/C23</f>
        <v>0.7047911971311636</v>
      </c>
    </row>
    <row r="24" spans="1:9" ht="12.75">
      <c r="A24" s="90" t="s">
        <v>44</v>
      </c>
      <c r="B24" s="90"/>
      <c r="C24" s="103">
        <f>(C20+E20)/12</f>
        <v>237176.99750000003</v>
      </c>
      <c r="D24" s="103"/>
      <c r="E24" s="103"/>
      <c r="F24" s="103">
        <v>208535.41</v>
      </c>
      <c r="G24" s="103"/>
      <c r="H24" s="103"/>
      <c r="I24" s="35">
        <f aca="true" t="shared" si="0" ref="I24:I34">F24*100%/C24</f>
        <v>0.879239606699212</v>
      </c>
    </row>
    <row r="25" spans="1:9" ht="12.75">
      <c r="A25" s="90" t="s">
        <v>45</v>
      </c>
      <c r="B25" s="90"/>
      <c r="C25" s="103">
        <f>(C20+E20)/12</f>
        <v>237176.99750000003</v>
      </c>
      <c r="D25" s="103"/>
      <c r="E25" s="103"/>
      <c r="F25" s="103">
        <v>197646.97</v>
      </c>
      <c r="G25" s="103"/>
      <c r="H25" s="103"/>
      <c r="I25" s="35">
        <f t="shared" si="0"/>
        <v>0.8333311074991578</v>
      </c>
    </row>
    <row r="26" spans="1:9" ht="12.75">
      <c r="A26" s="90" t="s">
        <v>46</v>
      </c>
      <c r="B26" s="90"/>
      <c r="C26" s="103">
        <f>(C20+E20)/12</f>
        <v>237176.99750000003</v>
      </c>
      <c r="D26" s="103"/>
      <c r="E26" s="103"/>
      <c r="F26" s="106">
        <v>225693.15</v>
      </c>
      <c r="G26" s="106"/>
      <c r="H26" s="106"/>
      <c r="I26" s="35">
        <f t="shared" si="0"/>
        <v>0.9515811076915246</v>
      </c>
    </row>
    <row r="27" spans="1:9" ht="12.75">
      <c r="A27" s="90" t="s">
        <v>47</v>
      </c>
      <c r="B27" s="90"/>
      <c r="C27" s="103">
        <f>(C20+E20)/12</f>
        <v>237176.99750000003</v>
      </c>
      <c r="D27" s="103"/>
      <c r="E27" s="103"/>
      <c r="F27" s="103">
        <v>199702.45</v>
      </c>
      <c r="G27" s="103"/>
      <c r="H27" s="103"/>
      <c r="I27" s="35">
        <f t="shared" si="0"/>
        <v>0.8419975465791112</v>
      </c>
    </row>
    <row r="28" spans="1:9" ht="12.75">
      <c r="A28" s="90" t="s">
        <v>48</v>
      </c>
      <c r="B28" s="90"/>
      <c r="C28" s="103">
        <f>(C20+E20)/12</f>
        <v>237176.99750000003</v>
      </c>
      <c r="D28" s="103"/>
      <c r="E28" s="103"/>
      <c r="F28" s="103">
        <v>214988.93</v>
      </c>
      <c r="G28" s="103"/>
      <c r="H28" s="103"/>
      <c r="I28" s="35">
        <f t="shared" si="0"/>
        <v>0.9064493279960675</v>
      </c>
    </row>
    <row r="29" spans="1:9" ht="12.75">
      <c r="A29" s="90" t="s">
        <v>49</v>
      </c>
      <c r="B29" s="90"/>
      <c r="C29" s="103">
        <f>(C20+E20)/12</f>
        <v>237176.99750000003</v>
      </c>
      <c r="D29" s="103"/>
      <c r="E29" s="103"/>
      <c r="F29" s="103">
        <v>195506.11</v>
      </c>
      <c r="G29" s="103"/>
      <c r="H29" s="103"/>
      <c r="I29" s="35">
        <f t="shared" si="0"/>
        <v>0.8243046840998987</v>
      </c>
    </row>
    <row r="30" spans="1:9" ht="12.75">
      <c r="A30" s="90" t="s">
        <v>50</v>
      </c>
      <c r="B30" s="90"/>
      <c r="C30" s="103">
        <f>(C20+E20)/12</f>
        <v>237176.99750000003</v>
      </c>
      <c r="D30" s="103"/>
      <c r="E30" s="103"/>
      <c r="F30" s="103">
        <v>212554.72</v>
      </c>
      <c r="G30" s="103"/>
      <c r="H30" s="103"/>
      <c r="I30" s="35">
        <f t="shared" si="0"/>
        <v>0.8961860645866384</v>
      </c>
    </row>
    <row r="31" spans="1:9" ht="12.75">
      <c r="A31" s="90" t="s">
        <v>51</v>
      </c>
      <c r="B31" s="90"/>
      <c r="C31" s="103">
        <f>(C20+E20)/12</f>
        <v>237176.99750000003</v>
      </c>
      <c r="D31" s="103"/>
      <c r="E31" s="103"/>
      <c r="F31" s="103">
        <v>186403.55</v>
      </c>
      <c r="G31" s="103"/>
      <c r="H31" s="103"/>
      <c r="I31" s="35">
        <f t="shared" si="0"/>
        <v>0.7859259201558952</v>
      </c>
    </row>
    <row r="32" spans="1:9" ht="12.75">
      <c r="A32" s="90" t="s">
        <v>52</v>
      </c>
      <c r="B32" s="90"/>
      <c r="C32" s="103">
        <f>(C20+E20)/12</f>
        <v>237176.99750000003</v>
      </c>
      <c r="D32" s="103"/>
      <c r="E32" s="103"/>
      <c r="F32" s="103">
        <v>216819.07</v>
      </c>
      <c r="G32" s="103"/>
      <c r="H32" s="103"/>
      <c r="I32" s="35">
        <f t="shared" si="0"/>
        <v>0.9141656749407159</v>
      </c>
    </row>
    <row r="33" spans="1:9" ht="12.75">
      <c r="A33" s="90" t="s">
        <v>53</v>
      </c>
      <c r="B33" s="90"/>
      <c r="C33" s="103">
        <f>(C20+E20)/12</f>
        <v>237176.99750000003</v>
      </c>
      <c r="D33" s="103"/>
      <c r="E33" s="103"/>
      <c r="F33" s="103">
        <v>214980.04</v>
      </c>
      <c r="G33" s="103"/>
      <c r="H33" s="103"/>
      <c r="I33" s="35">
        <f t="shared" si="0"/>
        <v>0.90641184544045</v>
      </c>
    </row>
    <row r="34" spans="1:9" ht="12.75">
      <c r="A34" s="90" t="s">
        <v>54</v>
      </c>
      <c r="B34" s="90"/>
      <c r="C34" s="103">
        <f>(C20+E20)/12</f>
        <v>237176.99750000003</v>
      </c>
      <c r="D34" s="103"/>
      <c r="E34" s="103"/>
      <c r="F34" s="103">
        <v>269038.51</v>
      </c>
      <c r="G34" s="103"/>
      <c r="H34" s="103"/>
      <c r="I34" s="35">
        <f t="shared" si="0"/>
        <v>1.134336435808873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04" t="s">
        <v>55</v>
      </c>
      <c r="B36" s="104"/>
      <c r="C36" s="104"/>
      <c r="D36" s="105" t="s">
        <v>178</v>
      </c>
      <c r="E36" s="105"/>
      <c r="F36" s="105"/>
      <c r="G36" s="105"/>
      <c r="H36" s="105"/>
      <c r="I36" s="105"/>
      <c r="J36" s="105"/>
    </row>
    <row r="37" spans="6:10" ht="12.75">
      <c r="F37" s="100" t="s">
        <v>56</v>
      </c>
      <c r="G37" s="100"/>
      <c r="H37" s="100"/>
      <c r="I37" s="100"/>
      <c r="J37" s="100"/>
    </row>
    <row r="38" spans="1:11" ht="36" customHeight="1">
      <c r="A38" s="101" t="s">
        <v>57</v>
      </c>
      <c r="B38" s="101"/>
      <c r="C38" s="101"/>
      <c r="D38" s="101"/>
      <c r="E38" s="101" t="s">
        <v>179</v>
      </c>
      <c r="F38" s="90" t="s">
        <v>58</v>
      </c>
      <c r="G38" s="90"/>
      <c r="H38" s="102" t="s">
        <v>59</v>
      </c>
      <c r="I38" s="90" t="s">
        <v>60</v>
      </c>
      <c r="J38" s="90" t="s">
        <v>61</v>
      </c>
      <c r="K38" s="18"/>
    </row>
    <row r="39" spans="1:11" ht="51" customHeight="1">
      <c r="A39" s="101"/>
      <c r="B39" s="101"/>
      <c r="C39" s="101"/>
      <c r="D39" s="101"/>
      <c r="E39" s="101"/>
      <c r="F39" s="16" t="s">
        <v>62</v>
      </c>
      <c r="G39" s="11" t="s">
        <v>63</v>
      </c>
      <c r="H39" s="102"/>
      <c r="I39" s="90"/>
      <c r="J39" s="90"/>
      <c r="K39" s="18"/>
    </row>
    <row r="40" spans="1:10" s="21" customFormat="1" ht="12.75">
      <c r="A40" s="96" t="s">
        <v>38</v>
      </c>
      <c r="B40" s="96"/>
      <c r="C40" s="96"/>
      <c r="D40" s="96"/>
      <c r="E40" s="12"/>
      <c r="F40" s="19"/>
      <c r="G40" s="12"/>
      <c r="H40" s="34"/>
      <c r="I40" s="6"/>
      <c r="J40" s="20"/>
    </row>
    <row r="41" spans="1:10" s="21" customFormat="1" ht="12.75">
      <c r="A41" s="96" t="s">
        <v>64</v>
      </c>
      <c r="B41" s="96"/>
      <c r="C41" s="96"/>
      <c r="D41" s="96"/>
      <c r="E41" s="12"/>
      <c r="F41" s="19"/>
      <c r="G41" s="12"/>
      <c r="H41" s="24"/>
      <c r="I41" s="6"/>
      <c r="J41" s="20"/>
    </row>
    <row r="42" spans="1:11" s="21" customFormat="1" ht="12.75">
      <c r="A42" s="81" t="s">
        <v>65</v>
      </c>
      <c r="B42" s="81"/>
      <c r="C42" s="81"/>
      <c r="D42" s="81"/>
      <c r="E42" s="12" t="s">
        <v>66</v>
      </c>
      <c r="F42" s="19">
        <f>C13</f>
        <v>1630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3597.5275928571427</v>
      </c>
      <c r="K42" s="23"/>
    </row>
    <row r="43" spans="1:11" s="21" customFormat="1" ht="28.5" customHeight="1">
      <c r="A43" s="81" t="s">
        <v>67</v>
      </c>
      <c r="B43" s="81"/>
      <c r="C43" s="81"/>
      <c r="D43" s="81"/>
      <c r="E43" s="12" t="s">
        <v>66</v>
      </c>
      <c r="F43" s="19">
        <f>G8*4</f>
        <v>2632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3872.67592</v>
      </c>
      <c r="K43" s="23"/>
    </row>
    <row r="44" spans="1:11" s="21" customFormat="1" ht="26.25" customHeight="1">
      <c r="A44" s="81" t="s">
        <v>180</v>
      </c>
      <c r="B44" s="81"/>
      <c r="C44" s="81"/>
      <c r="D44" s="81"/>
      <c r="E44" s="12" t="s">
        <v>66</v>
      </c>
      <c r="F44" s="19">
        <f>F3*2.5+F42</f>
        <v>1640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4826.131085714285</v>
      </c>
      <c r="K44" s="23"/>
    </row>
    <row r="45" spans="1:11" s="21" customFormat="1" ht="12.75" customHeight="1">
      <c r="A45" s="81" t="s">
        <v>68</v>
      </c>
      <c r="B45" s="81"/>
      <c r="C45" s="81"/>
      <c r="D45" s="81"/>
      <c r="E45" s="12" t="s">
        <v>66</v>
      </c>
      <c r="F45" s="19">
        <f>F44</f>
        <v>1640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12065.327714285713</v>
      </c>
      <c r="K45" s="23"/>
    </row>
    <row r="46" spans="1:11" s="21" customFormat="1" ht="12.75" customHeight="1">
      <c r="A46" s="81" t="s">
        <v>69</v>
      </c>
      <c r="B46" s="81"/>
      <c r="C46" s="81"/>
      <c r="D46" s="81"/>
      <c r="E46" s="12" t="s">
        <v>66</v>
      </c>
      <c r="F46" s="19">
        <f>C11+C12</f>
        <v>1140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1677.3748285714285</v>
      </c>
      <c r="K46" s="23"/>
    </row>
    <row r="47" spans="1:11" s="21" customFormat="1" ht="26.25" customHeight="1">
      <c r="A47" s="81" t="s">
        <v>70</v>
      </c>
      <c r="B47" s="81"/>
      <c r="C47" s="81"/>
      <c r="D47" s="81"/>
      <c r="E47" s="12" t="s">
        <v>66</v>
      </c>
      <c r="F47" s="19">
        <f>C8</f>
        <v>8766.2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25796.84775828572</v>
      </c>
      <c r="K47" s="23"/>
    </row>
    <row r="48" spans="1:11" s="21" customFormat="1" ht="12.75" customHeight="1">
      <c r="A48" s="99" t="s">
        <v>71</v>
      </c>
      <c r="B48" s="99"/>
      <c r="C48" s="99"/>
      <c r="D48" s="99"/>
      <c r="E48" s="12"/>
      <c r="F48" s="19"/>
      <c r="G48" s="6"/>
      <c r="H48" s="24"/>
      <c r="I48" s="22">
        <f t="shared" si="2"/>
        <v>61.30755952380952</v>
      </c>
      <c r="J48" s="20">
        <f>SUM(J42:J47)</f>
        <v>51835.88489971429</v>
      </c>
      <c r="K48" s="23"/>
    </row>
    <row r="49" spans="1:11" s="21" customFormat="1" ht="12.75" customHeight="1">
      <c r="A49" s="96" t="s">
        <v>72</v>
      </c>
      <c r="B49" s="96"/>
      <c r="C49" s="96"/>
      <c r="D49" s="96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81" t="s">
        <v>73</v>
      </c>
      <c r="B50" s="81"/>
      <c r="C50" s="81"/>
      <c r="D50" s="81"/>
      <c r="E50" s="12" t="s">
        <v>74</v>
      </c>
      <c r="F50" s="24">
        <f>C9/1000</f>
        <v>5.422899999999999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3324.6476454166664</v>
      </c>
      <c r="K50" s="23"/>
    </row>
    <row r="51" spans="1:11" s="21" customFormat="1" ht="26.25" customHeight="1">
      <c r="A51" s="81" t="s">
        <v>75</v>
      </c>
      <c r="B51" s="81"/>
      <c r="C51" s="81"/>
      <c r="D51" s="81"/>
      <c r="E51" s="12" t="s">
        <v>181</v>
      </c>
      <c r="F51" s="24">
        <f>(C11+C12)/1000</f>
        <v>1.14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1397.812357142857</v>
      </c>
      <c r="K51" s="23"/>
    </row>
    <row r="52" spans="1:11" s="21" customFormat="1" ht="26.25" customHeight="1">
      <c r="A52" s="81" t="s">
        <v>76</v>
      </c>
      <c r="B52" s="81"/>
      <c r="C52" s="81"/>
      <c r="D52" s="81"/>
      <c r="E52" s="12" t="s">
        <v>77</v>
      </c>
      <c r="F52" s="24">
        <f>F2*F3/100</f>
        <v>0.36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397.2729857142857</v>
      </c>
      <c r="K52" s="23"/>
    </row>
    <row r="53" spans="1:11" s="21" customFormat="1" ht="26.25" customHeight="1">
      <c r="A53" s="81" t="s">
        <v>78</v>
      </c>
      <c r="B53" s="81"/>
      <c r="C53" s="81"/>
      <c r="D53" s="81"/>
      <c r="E53" s="12" t="s">
        <v>79</v>
      </c>
      <c r="F53" s="19">
        <f>F3</f>
        <v>4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245.2302380952381</v>
      </c>
      <c r="K53" s="23"/>
    </row>
    <row r="54" spans="1:11" s="21" customFormat="1" ht="39.75" customHeight="1">
      <c r="A54" s="81" t="s">
        <v>80</v>
      </c>
      <c r="B54" s="81"/>
      <c r="C54" s="81"/>
      <c r="D54" s="81"/>
      <c r="E54" s="12" t="s">
        <v>81</v>
      </c>
      <c r="F54" s="24">
        <f>J3/100</f>
        <v>1.376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119.79006670476188</v>
      </c>
      <c r="K54" s="23"/>
    </row>
    <row r="55" spans="1:11" s="21" customFormat="1" ht="26.25" customHeight="1">
      <c r="A55" s="81" t="s">
        <v>82</v>
      </c>
      <c r="B55" s="81"/>
      <c r="C55" s="81"/>
      <c r="D55" s="81"/>
      <c r="E55" s="12" t="s">
        <v>81</v>
      </c>
      <c r="F55" s="48">
        <f>J3/100</f>
        <v>1.376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119.79006670476188</v>
      </c>
      <c r="K55" s="23"/>
    </row>
    <row r="56" spans="1:11" s="21" customFormat="1" ht="26.25" customHeight="1">
      <c r="A56" s="81" t="s">
        <v>83</v>
      </c>
      <c r="B56" s="81"/>
      <c r="C56" s="81"/>
      <c r="D56" s="81"/>
      <c r="E56" s="12" t="s">
        <v>81</v>
      </c>
      <c r="F56" s="48">
        <f>J3/100</f>
        <v>1.376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523.0270518095238</v>
      </c>
      <c r="K56" s="23"/>
    </row>
    <row r="57" spans="1:11" s="21" customFormat="1" ht="26.25" customHeight="1">
      <c r="A57" s="81" t="s">
        <v>84</v>
      </c>
      <c r="B57" s="81"/>
      <c r="C57" s="81"/>
      <c r="D57" s="81"/>
      <c r="E57" s="12" t="s">
        <v>85</v>
      </c>
      <c r="F57" s="48">
        <f>J3/100</f>
        <v>1.376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556.7707325714284</v>
      </c>
      <c r="K57" s="23"/>
    </row>
    <row r="58" spans="1:11" s="21" customFormat="1" ht="26.25" customHeight="1">
      <c r="A58" s="81" t="s">
        <v>86</v>
      </c>
      <c r="B58" s="81"/>
      <c r="C58" s="81"/>
      <c r="D58" s="81"/>
      <c r="E58" s="12" t="s">
        <v>181</v>
      </c>
      <c r="F58" s="48">
        <f>(C8-C9)/1000</f>
        <v>3.343300000000001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819.8782550238097</v>
      </c>
      <c r="K58" s="23"/>
    </row>
    <row r="59" spans="1:11" s="21" customFormat="1" ht="41.25" customHeight="1">
      <c r="A59" s="98" t="s">
        <v>87</v>
      </c>
      <c r="B59" s="98"/>
      <c r="C59" s="98"/>
      <c r="D59" s="98"/>
      <c r="E59" s="12" t="s">
        <v>88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81" t="s">
        <v>89</v>
      </c>
      <c r="B60" s="81"/>
      <c r="C60" s="81"/>
      <c r="D60" s="81"/>
      <c r="E60" s="12" t="s">
        <v>85</v>
      </c>
      <c r="F60" s="24">
        <f>J3/100</f>
        <v>1.376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278.3853662857142</v>
      </c>
      <c r="K60" s="23"/>
    </row>
    <row r="61" spans="1:11" s="21" customFormat="1" ht="26.25" customHeight="1">
      <c r="A61" s="81" t="s">
        <v>90</v>
      </c>
      <c r="B61" s="81"/>
      <c r="C61" s="81"/>
      <c r="D61" s="81"/>
      <c r="E61" s="12" t="s">
        <v>91</v>
      </c>
      <c r="F61" s="19">
        <f>F3</f>
        <v>4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137.32893333333334</v>
      </c>
      <c r="K61" s="23"/>
    </row>
    <row r="62" spans="1:11" s="21" customFormat="1" ht="50.25" customHeight="1">
      <c r="A62" s="81" t="s">
        <v>182</v>
      </c>
      <c r="B62" s="81"/>
      <c r="C62" s="81"/>
      <c r="D62" s="81"/>
      <c r="E62" s="12" t="s">
        <v>74</v>
      </c>
      <c r="F62" s="24">
        <f>C9/1000</f>
        <v>5.422899999999999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3324.6476454166664</v>
      </c>
      <c r="K62" s="23"/>
    </row>
    <row r="63" spans="1:11" s="21" customFormat="1" ht="12.75" customHeight="1">
      <c r="A63" s="81" t="s">
        <v>71</v>
      </c>
      <c r="B63" s="81"/>
      <c r="C63" s="81"/>
      <c r="D63" s="81"/>
      <c r="E63" s="12"/>
      <c r="F63" s="19"/>
      <c r="G63" s="6"/>
      <c r="H63" s="24"/>
      <c r="I63" s="6"/>
      <c r="J63" s="20">
        <f>SUM(J50:J62)</f>
        <v>26952.497707611903</v>
      </c>
      <c r="K63" s="23"/>
    </row>
    <row r="64" spans="1:11" s="21" customFormat="1" ht="12.75" customHeight="1">
      <c r="A64" s="96" t="s">
        <v>92</v>
      </c>
      <c r="B64" s="96"/>
      <c r="C64" s="96"/>
      <c r="D64" s="96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81" t="s">
        <v>134</v>
      </c>
      <c r="B65" s="81"/>
      <c r="C65" s="81"/>
      <c r="D65" s="81"/>
      <c r="E65" s="12" t="s">
        <v>66</v>
      </c>
      <c r="F65" s="24">
        <f>G8/F2*3</f>
        <v>219.33333333333334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31615.46415</v>
      </c>
      <c r="K65" s="23"/>
    </row>
    <row r="66" spans="1:11" s="21" customFormat="1" ht="39" customHeight="1">
      <c r="A66" s="81" t="s">
        <v>135</v>
      </c>
      <c r="B66" s="81"/>
      <c r="C66" s="81"/>
      <c r="D66" s="81"/>
      <c r="E66" s="12" t="s">
        <v>66</v>
      </c>
      <c r="F66" s="24">
        <f>G8/F2*(F2-3)</f>
        <v>438.6666666666667</v>
      </c>
      <c r="G66" s="6">
        <v>104</v>
      </c>
      <c r="H66" s="24">
        <f>0.71/60</f>
        <v>0.011833333333333333</v>
      </c>
      <c r="I66" s="24">
        <f aca="true" t="shared" si="5" ref="I66:I77">4914.48/21/8</f>
        <v>29.252857142857142</v>
      </c>
      <c r="J66" s="20">
        <f t="shared" si="4"/>
        <v>15792.226435555554</v>
      </c>
      <c r="K66" s="23"/>
    </row>
    <row r="67" spans="1:11" s="21" customFormat="1" ht="26.25" customHeight="1">
      <c r="A67" s="81" t="s">
        <v>136</v>
      </c>
      <c r="B67" s="81"/>
      <c r="C67" s="81"/>
      <c r="D67" s="81"/>
      <c r="E67" s="12" t="s">
        <v>66</v>
      </c>
      <c r="F67" s="24">
        <f>G8/F2*3</f>
        <v>219.33333333333334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2746.1022133333336</v>
      </c>
      <c r="K67" s="23"/>
    </row>
    <row r="68" spans="1:11" s="21" customFormat="1" ht="26.25" customHeight="1">
      <c r="A68" s="81" t="s">
        <v>137</v>
      </c>
      <c r="B68" s="81"/>
      <c r="C68" s="81"/>
      <c r="D68" s="81"/>
      <c r="E68" s="12" t="s">
        <v>66</v>
      </c>
      <c r="F68" s="24">
        <f>G8/F2*(F2-3)</f>
        <v>438.6666666666667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4208.979093333333</v>
      </c>
      <c r="K68" s="23"/>
    </row>
    <row r="69" spans="1:11" s="21" customFormat="1" ht="12.75" customHeight="1">
      <c r="A69" s="81" t="s">
        <v>93</v>
      </c>
      <c r="B69" s="81"/>
      <c r="C69" s="81"/>
      <c r="D69" s="81"/>
      <c r="E69" s="12" t="s">
        <v>66</v>
      </c>
      <c r="F69" s="19">
        <f>F2*F3*1.5*2</f>
        <v>108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400.17908571428563</v>
      </c>
      <c r="K69" s="23"/>
    </row>
    <row r="70" spans="1:10" s="21" customFormat="1" ht="12.75" customHeight="1">
      <c r="A70" s="97" t="s">
        <v>94</v>
      </c>
      <c r="B70" s="97"/>
      <c r="C70" s="97"/>
      <c r="D70" s="97"/>
      <c r="E70" s="26" t="s">
        <v>66</v>
      </c>
      <c r="F70" s="27">
        <f>G9</f>
        <v>1575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1397.55525</v>
      </c>
    </row>
    <row r="71" spans="1:11" s="21" customFormat="1" ht="26.25" customHeight="1">
      <c r="A71" s="81" t="s">
        <v>95</v>
      </c>
      <c r="B71" s="81"/>
      <c r="C71" s="81"/>
      <c r="D71" s="81"/>
      <c r="E71" s="12" t="s">
        <v>66</v>
      </c>
      <c r="F71" s="19">
        <f>G10</f>
        <v>3300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20497.477000000003</v>
      </c>
      <c r="K71" s="23"/>
    </row>
    <row r="72" spans="1:11" s="21" customFormat="1" ht="12.75" customHeight="1">
      <c r="A72" s="81" t="s">
        <v>96</v>
      </c>
      <c r="B72" s="81"/>
      <c r="C72" s="81"/>
      <c r="D72" s="81"/>
      <c r="E72" s="12" t="s">
        <v>66</v>
      </c>
      <c r="F72" s="19">
        <f>G10</f>
        <v>3300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19033.371499999997</v>
      </c>
      <c r="K72" s="23"/>
    </row>
    <row r="73" spans="1:11" s="21" customFormat="1" ht="26.25" customHeight="1">
      <c r="A73" s="81" t="s">
        <v>125</v>
      </c>
      <c r="B73" s="81"/>
      <c r="C73" s="81"/>
      <c r="D73" s="81"/>
      <c r="E73" s="12" t="s">
        <v>66</v>
      </c>
      <c r="F73" s="19">
        <f>G10</f>
        <v>3300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46980.08857142856</v>
      </c>
      <c r="K73" s="23"/>
    </row>
    <row r="74" spans="1:11" s="21" customFormat="1" ht="12.75" customHeight="1">
      <c r="A74" s="81" t="s">
        <v>97</v>
      </c>
      <c r="B74" s="81"/>
      <c r="C74" s="81"/>
      <c r="D74" s="81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81" t="s">
        <v>98</v>
      </c>
      <c r="B75" s="81"/>
      <c r="C75" s="81"/>
      <c r="D75" s="81"/>
      <c r="E75" s="12" t="s">
        <v>99</v>
      </c>
      <c r="F75" s="19">
        <f>F3</f>
        <v>4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1665.6576857142857</v>
      </c>
      <c r="K75" s="23"/>
    </row>
    <row r="76" spans="1:11" s="21" customFormat="1" ht="12.75" customHeight="1">
      <c r="A76" s="81" t="s">
        <v>100</v>
      </c>
      <c r="B76" s="81"/>
      <c r="C76" s="81"/>
      <c r="D76" s="81"/>
      <c r="E76" s="12" t="s">
        <v>66</v>
      </c>
      <c r="F76" s="19">
        <f>G12</f>
        <v>5224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35692.93994933333</v>
      </c>
      <c r="K76" s="23"/>
    </row>
    <row r="77" spans="1:11" s="21" customFormat="1" ht="12.75" customHeight="1">
      <c r="A77" s="81" t="s">
        <v>71</v>
      </c>
      <c r="B77" s="81"/>
      <c r="C77" s="81"/>
      <c r="D77" s="81"/>
      <c r="E77" s="12"/>
      <c r="F77" s="19"/>
      <c r="G77" s="6"/>
      <c r="H77" s="24"/>
      <c r="I77" s="24">
        <f t="shared" si="5"/>
        <v>29.252857142857142</v>
      </c>
      <c r="J77" s="20">
        <f>SUM(J65:J76)</f>
        <v>182628.18219631742</v>
      </c>
      <c r="K77" s="23"/>
    </row>
    <row r="78" spans="1:11" s="21" customFormat="1" ht="12.75">
      <c r="A78" s="96" t="s">
        <v>101</v>
      </c>
      <c r="B78" s="96"/>
      <c r="C78" s="96"/>
      <c r="D78" s="96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81" t="s">
        <v>102</v>
      </c>
      <c r="B79" s="81"/>
      <c r="C79" s="81"/>
      <c r="D79" s="81"/>
      <c r="E79" s="90"/>
      <c r="F79" s="90"/>
      <c r="G79" s="90"/>
      <c r="H79" s="90"/>
      <c r="I79" s="6"/>
      <c r="J79" s="20">
        <f>300079.59/216035.97*C8</f>
        <v>12176.480156790558</v>
      </c>
      <c r="K79" s="23"/>
    </row>
    <row r="80" spans="1:11" s="21" customFormat="1" ht="12.75">
      <c r="A80" s="81" t="s">
        <v>103</v>
      </c>
      <c r="B80" s="81"/>
      <c r="C80" s="81"/>
      <c r="D80" s="81"/>
      <c r="E80" s="90"/>
      <c r="F80" s="90"/>
      <c r="G80" s="90"/>
      <c r="H80" s="90"/>
      <c r="I80" s="6"/>
      <c r="J80" s="20">
        <f>99563.03/216035.97*C8</f>
        <v>4040.01904676337</v>
      </c>
      <c r="K80" s="23"/>
    </row>
    <row r="81" spans="1:11" s="21" customFormat="1" ht="12.75">
      <c r="A81" s="91" t="s">
        <v>119</v>
      </c>
      <c r="B81" s="92"/>
      <c r="C81" s="92"/>
      <c r="D81" s="93"/>
      <c r="E81" s="94"/>
      <c r="F81" s="95"/>
      <c r="G81" s="95"/>
      <c r="H81" s="88"/>
      <c r="I81" s="37"/>
      <c r="J81" s="20">
        <f>5366787.25/216035.97*C8</f>
        <v>217770.82025252556</v>
      </c>
      <c r="K81" s="23"/>
    </row>
    <row r="82" spans="1:11" s="21" customFormat="1" ht="12.75">
      <c r="A82" s="81" t="s">
        <v>104</v>
      </c>
      <c r="B82" s="81"/>
      <c r="C82" s="81"/>
      <c r="D82" s="81"/>
      <c r="E82" s="90" t="s">
        <v>105</v>
      </c>
      <c r="F82" s="90"/>
      <c r="G82" s="90"/>
      <c r="H82" s="90"/>
      <c r="I82" s="6"/>
      <c r="J82" s="36">
        <f>1478082.24/216035.97*C8</f>
        <v>59976.88501728671</v>
      </c>
      <c r="K82" s="23"/>
    </row>
    <row r="83" spans="1:11" s="21" customFormat="1" ht="12.75">
      <c r="A83" s="81" t="s">
        <v>106</v>
      </c>
      <c r="B83" s="81"/>
      <c r="C83" s="81"/>
      <c r="D83" s="81"/>
      <c r="E83" s="90" t="s">
        <v>105</v>
      </c>
      <c r="F83" s="90"/>
      <c r="G83" s="90"/>
      <c r="H83" s="90"/>
      <c r="I83" s="6"/>
      <c r="J83" s="20">
        <f>3148900/216035.97*C8</f>
        <v>127774.4959786095</v>
      </c>
      <c r="K83" s="23"/>
    </row>
    <row r="84" spans="1:11" s="21" customFormat="1" ht="12.75">
      <c r="A84" s="81" t="s">
        <v>107</v>
      </c>
      <c r="B84" s="81"/>
      <c r="C84" s="81"/>
      <c r="D84" s="81"/>
      <c r="E84" s="90" t="s">
        <v>108</v>
      </c>
      <c r="F84" s="90"/>
      <c r="G84" s="90"/>
      <c r="H84" s="90"/>
      <c r="I84" s="6"/>
      <c r="J84" s="20">
        <f>(111173.4)/216035.97*C8</f>
        <v>4511.138858403996</v>
      </c>
      <c r="K84" s="23"/>
    </row>
    <row r="85" spans="1:11" s="21" customFormat="1" ht="12.75">
      <c r="A85" s="81" t="s">
        <v>183</v>
      </c>
      <c r="B85" s="81"/>
      <c r="C85" s="81"/>
      <c r="D85" s="81"/>
      <c r="E85" s="90" t="s">
        <v>109</v>
      </c>
      <c r="F85" s="90"/>
      <c r="G85" s="90"/>
      <c r="H85" s="90"/>
      <c r="I85" s="6"/>
      <c r="J85" s="20">
        <f>198400.51/216035.97*C8</f>
        <v>8050.597086966583</v>
      </c>
      <c r="K85" s="23"/>
    </row>
    <row r="86" spans="1:11" s="21" customFormat="1" ht="12.75">
      <c r="A86" s="81" t="s">
        <v>110</v>
      </c>
      <c r="B86" s="81"/>
      <c r="C86" s="81"/>
      <c r="D86" s="81"/>
      <c r="E86" s="90" t="s">
        <v>105</v>
      </c>
      <c r="F86" s="90"/>
      <c r="G86" s="90"/>
      <c r="H86" s="90"/>
      <c r="I86" s="6"/>
      <c r="J86" s="49">
        <f>6255875.28/216035.97*C8</f>
        <v>253847.79154849076</v>
      </c>
      <c r="K86" s="23"/>
    </row>
    <row r="87" spans="1:11" s="21" customFormat="1" ht="12.75">
      <c r="A87" s="91" t="s">
        <v>184</v>
      </c>
      <c r="B87" s="92"/>
      <c r="C87" s="92"/>
      <c r="D87" s="93"/>
      <c r="E87" s="94"/>
      <c r="F87" s="95"/>
      <c r="G87" s="95"/>
      <c r="H87" s="88"/>
      <c r="I87" s="6"/>
      <c r="J87" s="36">
        <v>1164.11</v>
      </c>
      <c r="K87" s="23"/>
    </row>
    <row r="88" spans="1:11" s="21" customFormat="1" ht="12.75">
      <c r="A88" s="91" t="s">
        <v>185</v>
      </c>
      <c r="B88" s="92"/>
      <c r="C88" s="92"/>
      <c r="D88" s="93"/>
      <c r="E88" s="94"/>
      <c r="F88" s="95"/>
      <c r="G88" s="95"/>
      <c r="H88" s="88"/>
      <c r="I88" s="6"/>
      <c r="J88" s="36">
        <f>3729.16*4</f>
        <v>14916.64</v>
      </c>
      <c r="K88" s="23"/>
    </row>
    <row r="89" spans="1:11" s="21" customFormat="1" ht="12.75">
      <c r="A89" s="81" t="s">
        <v>111</v>
      </c>
      <c r="B89" s="81"/>
      <c r="C89" s="81"/>
      <c r="D89" s="81"/>
      <c r="E89" s="90" t="s">
        <v>105</v>
      </c>
      <c r="F89" s="90"/>
      <c r="G89" s="90"/>
      <c r="H89" s="90"/>
      <c r="I89" s="6"/>
      <c r="J89" s="49">
        <f>574141.03/216035.97*C8</f>
        <v>23297.20878049151</v>
      </c>
      <c r="K89" s="23"/>
    </row>
    <row r="90" spans="1:11" s="21" customFormat="1" ht="12.75">
      <c r="A90" s="81" t="s">
        <v>112</v>
      </c>
      <c r="B90" s="81"/>
      <c r="C90" s="81"/>
      <c r="D90" s="81"/>
      <c r="E90" s="90"/>
      <c r="F90" s="90"/>
      <c r="G90" s="90"/>
      <c r="H90" s="90"/>
      <c r="I90" s="6"/>
      <c r="J90" s="49">
        <f>7623081.82/216035.97*C8</f>
        <v>309325.61762971233</v>
      </c>
      <c r="K90" s="23"/>
    </row>
    <row r="91" spans="1:11" s="21" customFormat="1" ht="12.75">
      <c r="A91" s="81" t="s">
        <v>113</v>
      </c>
      <c r="B91" s="81"/>
      <c r="C91" s="81"/>
      <c r="D91" s="81"/>
      <c r="E91" s="11"/>
      <c r="F91" s="11"/>
      <c r="G91" s="11"/>
      <c r="H91" s="32"/>
      <c r="I91" s="11"/>
      <c r="J91" s="36">
        <f>5899496.16/216035.97*C8</f>
        <v>239386.8171017632</v>
      </c>
      <c r="K91" s="23"/>
    </row>
    <row r="92" spans="1:11" s="21" customFormat="1" ht="12.75">
      <c r="A92" s="81" t="s">
        <v>71</v>
      </c>
      <c r="B92" s="81"/>
      <c r="C92" s="81"/>
      <c r="D92" s="81"/>
      <c r="E92" s="12"/>
      <c r="F92" s="12"/>
      <c r="G92" s="12"/>
      <c r="H92" s="34"/>
      <c r="I92" s="6"/>
      <c r="J92" s="20">
        <f>SUM(J79:J91)</f>
        <v>1276238.621457804</v>
      </c>
      <c r="K92" s="23"/>
    </row>
    <row r="93" spans="1:11" s="21" customFormat="1" ht="12.75" customHeight="1">
      <c r="A93" s="81" t="s">
        <v>114</v>
      </c>
      <c r="B93" s="81"/>
      <c r="C93" s="81"/>
      <c r="D93" s="81"/>
      <c r="E93" s="12"/>
      <c r="F93" s="19"/>
      <c r="G93" s="12"/>
      <c r="H93" s="34"/>
      <c r="I93" s="6"/>
      <c r="J93" s="20">
        <f>J48+J63+J77+J92</f>
        <v>1537655.1862614476</v>
      </c>
      <c r="K93" s="23"/>
    </row>
    <row r="94" spans="1:11" ht="12.75">
      <c r="A94" s="73" t="s">
        <v>115</v>
      </c>
      <c r="B94" s="73"/>
      <c r="C94" s="73"/>
      <c r="D94" s="73"/>
      <c r="E94" s="73"/>
      <c r="F94" s="73"/>
      <c r="G94" s="73"/>
      <c r="H94" s="73"/>
      <c r="I94" s="73"/>
      <c r="J94" s="28">
        <f>J93*0.05</f>
        <v>76882.75931307238</v>
      </c>
      <c r="K94" s="23"/>
    </row>
    <row r="95" spans="1:11" ht="12.75">
      <c r="A95" s="73" t="s">
        <v>116</v>
      </c>
      <c r="B95" s="73"/>
      <c r="C95" s="73"/>
      <c r="D95" s="73"/>
      <c r="E95" s="73"/>
      <c r="F95" s="73"/>
      <c r="G95" s="73"/>
      <c r="H95" s="73"/>
      <c r="I95" s="73"/>
      <c r="J95" s="13">
        <f>J93+J94</f>
        <v>1614537.94557452</v>
      </c>
      <c r="K95" s="23"/>
    </row>
    <row r="96" spans="1:11" ht="12.75">
      <c r="A96" s="73" t="s">
        <v>117</v>
      </c>
      <c r="B96" s="73"/>
      <c r="C96" s="73"/>
      <c r="D96" s="73"/>
      <c r="E96" s="73"/>
      <c r="F96" s="73"/>
      <c r="G96" s="73"/>
      <c r="H96" s="73"/>
      <c r="I96" s="73"/>
      <c r="J96" s="28">
        <f>J95*0.18</f>
        <v>290616.83020341356</v>
      </c>
      <c r="K96" s="23"/>
    </row>
    <row r="97" spans="1:11" ht="12.75">
      <c r="A97" s="73" t="s">
        <v>118</v>
      </c>
      <c r="B97" s="73"/>
      <c r="C97" s="73"/>
      <c r="D97" s="73"/>
      <c r="E97" s="73"/>
      <c r="F97" s="73"/>
      <c r="G97" s="73"/>
      <c r="H97" s="73"/>
      <c r="I97" s="73"/>
      <c r="J97" s="29">
        <f>J96+J95</f>
        <v>1905154.7757779334</v>
      </c>
      <c r="K97" s="30"/>
    </row>
    <row r="98" spans="1:11" ht="12.75">
      <c r="A98" s="38"/>
      <c r="B98" s="38"/>
      <c r="C98" s="38"/>
      <c r="D98" s="38"/>
      <c r="E98" s="38"/>
      <c r="F98" s="38"/>
      <c r="G98" s="38"/>
      <c r="H98" s="38"/>
      <c r="I98" s="38"/>
      <c r="J98" s="39"/>
      <c r="K98" s="30"/>
    </row>
    <row r="99" spans="1:11" ht="15">
      <c r="A99" s="42" t="s">
        <v>126</v>
      </c>
      <c r="B99" s="40"/>
      <c r="C99" s="40"/>
      <c r="D99" s="40"/>
      <c r="E99" s="40"/>
      <c r="F99" s="40"/>
      <c r="G99" s="40"/>
      <c r="H99" s="41"/>
      <c r="I99" s="38"/>
      <c r="J99" s="39"/>
      <c r="K99" s="30"/>
    </row>
    <row r="100" spans="1:11" ht="40.5" customHeight="1">
      <c r="A100" s="70" t="s">
        <v>189</v>
      </c>
      <c r="B100" s="71"/>
      <c r="C100" s="70" t="s">
        <v>190</v>
      </c>
      <c r="D100" s="71"/>
      <c r="E100" s="70" t="s">
        <v>127</v>
      </c>
      <c r="F100" s="71"/>
      <c r="G100" s="70" t="s">
        <v>128</v>
      </c>
      <c r="H100" s="71"/>
      <c r="I100" s="38"/>
      <c r="J100" s="39"/>
      <c r="K100" s="30"/>
    </row>
    <row r="101" spans="1:11" ht="12.75">
      <c r="A101" s="76">
        <f>44778.52+47508.47+63292.3+78569.86+77831</f>
        <v>311980.14999999997</v>
      </c>
      <c r="B101" s="77"/>
      <c r="C101" s="78">
        <f>8793.72+8793.72+8793.72+8835.97+8927.49+8885.37+9533.81+9444.75+9489.28+9444.75+9444.75+9444.75</f>
        <v>109832.07999999999</v>
      </c>
      <c r="D101" s="68"/>
      <c r="E101" s="79"/>
      <c r="F101" s="80"/>
      <c r="G101" s="74">
        <f>C101+A101</f>
        <v>421812.23</v>
      </c>
      <c r="H101" s="75"/>
      <c r="I101" s="38"/>
      <c r="J101" s="39"/>
      <c r="K101" s="30"/>
    </row>
    <row r="102" spans="1:11" ht="12.75">
      <c r="A102" s="38"/>
      <c r="B102" s="38"/>
      <c r="C102" s="38"/>
      <c r="D102" s="38"/>
      <c r="E102" s="67"/>
      <c r="F102" s="68"/>
      <c r="G102" s="38"/>
      <c r="H102" s="38"/>
      <c r="I102" s="38"/>
      <c r="J102" s="39"/>
      <c r="K102" s="30"/>
    </row>
    <row r="103" spans="1:11" ht="15">
      <c r="A103" s="42" t="s">
        <v>129</v>
      </c>
      <c r="B103" s="43"/>
      <c r="C103" s="43"/>
      <c r="D103" s="40"/>
      <c r="E103" s="40"/>
      <c r="F103" s="40"/>
      <c r="G103" s="40"/>
      <c r="H103" s="41"/>
      <c r="I103" s="38"/>
      <c r="J103" s="39"/>
      <c r="K103" s="30"/>
    </row>
    <row r="104" spans="1:11" ht="27" customHeight="1">
      <c r="A104" s="70" t="s">
        <v>130</v>
      </c>
      <c r="B104" s="71"/>
      <c r="C104" s="70" t="s">
        <v>131</v>
      </c>
      <c r="D104" s="71"/>
      <c r="E104" s="83" t="s">
        <v>132</v>
      </c>
      <c r="F104" s="83"/>
      <c r="G104" s="84"/>
      <c r="H104" s="84"/>
      <c r="I104" s="38"/>
      <c r="J104" s="39"/>
      <c r="K104" s="30"/>
    </row>
    <row r="105" spans="1:11" ht="27" customHeight="1">
      <c r="A105" s="85"/>
      <c r="B105" s="86"/>
      <c r="C105" s="87"/>
      <c r="D105" s="88"/>
      <c r="E105" s="89"/>
      <c r="F105" s="73"/>
      <c r="G105" s="82"/>
      <c r="H105" s="82"/>
      <c r="I105" s="38"/>
      <c r="J105" s="39"/>
      <c r="K105" s="30"/>
    </row>
    <row r="106" spans="1:1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9"/>
      <c r="K106" s="30"/>
    </row>
    <row r="107" spans="1:11" ht="12.75">
      <c r="A107" s="69" t="s">
        <v>124</v>
      </c>
      <c r="B107" s="69"/>
      <c r="C107" s="69"/>
      <c r="D107" s="69"/>
      <c r="E107" s="69"/>
      <c r="F107" s="38"/>
      <c r="G107" s="38"/>
      <c r="H107" s="38"/>
      <c r="I107" s="38"/>
      <c r="J107" s="39"/>
      <c r="K107" s="30"/>
    </row>
    <row r="108" spans="1:11" ht="12.75">
      <c r="A108" s="69"/>
      <c r="B108" s="69"/>
      <c r="C108" s="69"/>
      <c r="D108" s="69"/>
      <c r="E108" s="69"/>
      <c r="F108" s="38"/>
      <c r="G108" s="38"/>
      <c r="H108" s="38"/>
      <c r="I108" s="38"/>
      <c r="J108" s="39"/>
      <c r="K108" s="30"/>
    </row>
    <row r="109" spans="1:1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9"/>
      <c r="K109" s="30"/>
    </row>
    <row r="110" spans="1:8" ht="12.75">
      <c r="A110" s="72" t="s">
        <v>57</v>
      </c>
      <c r="B110" s="72"/>
      <c r="C110" s="72"/>
      <c r="D110" s="72"/>
      <c r="E110" s="58" t="s">
        <v>120</v>
      </c>
      <c r="F110" s="58" t="s">
        <v>121</v>
      </c>
      <c r="G110" s="58" t="s">
        <v>122</v>
      </c>
      <c r="H110" s="59" t="s">
        <v>123</v>
      </c>
    </row>
    <row r="111" spans="1:9" s="66" customFormat="1" ht="12.75">
      <c r="A111" s="62" t="s">
        <v>146</v>
      </c>
      <c r="B111" s="63"/>
      <c r="C111" s="63"/>
      <c r="D111" s="63"/>
      <c r="E111" s="64"/>
      <c r="F111" s="64"/>
      <c r="G111" s="64"/>
      <c r="H111" s="60"/>
      <c r="I111" s="65"/>
    </row>
    <row r="112" spans="1:9" s="66" customFormat="1" ht="12.75">
      <c r="A112" s="130" t="s">
        <v>191</v>
      </c>
      <c r="B112" s="63"/>
      <c r="C112" s="63"/>
      <c r="D112" s="63"/>
      <c r="E112" s="131" t="s">
        <v>147</v>
      </c>
      <c r="F112" s="132">
        <v>1</v>
      </c>
      <c r="G112" s="132">
        <v>103.16</v>
      </c>
      <c r="H112" s="60">
        <f>G112*F112</f>
        <v>103.16</v>
      </c>
      <c r="I112" s="65"/>
    </row>
    <row r="113" spans="1:9" s="66" customFormat="1" ht="12.75">
      <c r="A113" s="133" t="s">
        <v>148</v>
      </c>
      <c r="B113" s="134"/>
      <c r="C113" s="134"/>
      <c r="D113" s="134"/>
      <c r="E113" s="134"/>
      <c r="F113" s="134"/>
      <c r="G113" s="135"/>
      <c r="H113" s="50">
        <f>SUM(H112:H112)</f>
        <v>103.16</v>
      </c>
      <c r="I113" s="65"/>
    </row>
    <row r="114" spans="1:9" s="66" customFormat="1" ht="12.75">
      <c r="A114" s="62" t="s">
        <v>149</v>
      </c>
      <c r="B114" s="63"/>
      <c r="C114" s="63"/>
      <c r="D114" s="63"/>
      <c r="E114" s="64"/>
      <c r="F114" s="64"/>
      <c r="G114" s="64"/>
      <c r="H114" s="60"/>
      <c r="I114" s="65"/>
    </row>
    <row r="115" spans="1:10" s="66" customFormat="1" ht="12.75">
      <c r="A115" s="133" t="s">
        <v>150</v>
      </c>
      <c r="B115" s="134"/>
      <c r="C115" s="134"/>
      <c r="D115" s="134"/>
      <c r="E115" s="134"/>
      <c r="F115" s="134"/>
      <c r="G115" s="135"/>
      <c r="H115" s="50">
        <v>0</v>
      </c>
      <c r="I115" s="136"/>
      <c r="J115" s="137"/>
    </row>
    <row r="116" spans="1:9" s="66" customFormat="1" ht="12.75">
      <c r="A116" s="62" t="s">
        <v>151</v>
      </c>
      <c r="B116" s="63"/>
      <c r="C116" s="63"/>
      <c r="D116" s="63"/>
      <c r="E116" s="64"/>
      <c r="F116" s="64"/>
      <c r="G116" s="64"/>
      <c r="H116" s="60"/>
      <c r="I116" s="65"/>
    </row>
    <row r="117" spans="1:9" s="66" customFormat="1" ht="12.75" hidden="1">
      <c r="A117" s="62"/>
      <c r="B117" s="63"/>
      <c r="C117" s="63"/>
      <c r="D117" s="63"/>
      <c r="E117" s="64"/>
      <c r="F117" s="64"/>
      <c r="G117" s="64"/>
      <c r="H117" s="60"/>
      <c r="I117" s="65"/>
    </row>
    <row r="118" spans="1:9" s="66" customFormat="1" ht="12.75" hidden="1">
      <c r="A118" s="62"/>
      <c r="B118" s="63"/>
      <c r="C118" s="63"/>
      <c r="D118" s="63"/>
      <c r="E118" s="64"/>
      <c r="F118" s="64"/>
      <c r="G118" s="64"/>
      <c r="H118" s="60"/>
      <c r="I118" s="65"/>
    </row>
    <row r="119" spans="1:9" s="66" customFormat="1" ht="12.75" hidden="1">
      <c r="A119" s="62"/>
      <c r="B119" s="63"/>
      <c r="C119" s="63"/>
      <c r="D119" s="63"/>
      <c r="E119" s="64"/>
      <c r="F119" s="64"/>
      <c r="G119" s="64"/>
      <c r="H119" s="60"/>
      <c r="I119" s="65"/>
    </row>
    <row r="120" spans="1:9" s="66" customFormat="1" ht="12.75">
      <c r="A120" s="133" t="s">
        <v>152</v>
      </c>
      <c r="B120" s="134"/>
      <c r="C120" s="134"/>
      <c r="D120" s="134"/>
      <c r="E120" s="134"/>
      <c r="F120" s="134"/>
      <c r="G120" s="135"/>
      <c r="H120" s="50">
        <f>SUM(H117:H119)</f>
        <v>0</v>
      </c>
      <c r="I120" s="136"/>
    </row>
    <row r="121" spans="1:9" s="66" customFormat="1" ht="12.75">
      <c r="A121" s="62" t="s">
        <v>153</v>
      </c>
      <c r="B121" s="63"/>
      <c r="C121" s="63"/>
      <c r="D121" s="63"/>
      <c r="E121" s="64"/>
      <c r="F121" s="64"/>
      <c r="G121" s="64"/>
      <c r="H121" s="60"/>
      <c r="I121" s="65"/>
    </row>
    <row r="122" spans="1:9" s="66" customFormat="1" ht="12.75">
      <c r="A122" s="130" t="s">
        <v>192</v>
      </c>
      <c r="B122" s="63"/>
      <c r="C122" s="63"/>
      <c r="D122" s="63"/>
      <c r="E122" s="130" t="s">
        <v>66</v>
      </c>
      <c r="F122" s="132">
        <v>5.8</v>
      </c>
      <c r="G122" s="132">
        <v>271.19</v>
      </c>
      <c r="H122" s="60">
        <f>G122*F122</f>
        <v>1572.902</v>
      </c>
      <c r="I122" s="65"/>
    </row>
    <row r="123" spans="1:9" s="66" customFormat="1" ht="12.75">
      <c r="A123" s="130" t="s">
        <v>192</v>
      </c>
      <c r="B123" s="63"/>
      <c r="C123" s="63"/>
      <c r="D123" s="63"/>
      <c r="E123" s="130" t="s">
        <v>66</v>
      </c>
      <c r="F123" s="132">
        <v>5.6</v>
      </c>
      <c r="G123" s="132">
        <v>271.19</v>
      </c>
      <c r="H123" s="60">
        <f>G123*F123</f>
        <v>1518.664</v>
      </c>
      <c r="I123" s="65"/>
    </row>
    <row r="124" spans="1:9" s="66" customFormat="1" ht="12.75">
      <c r="A124" s="130" t="s">
        <v>192</v>
      </c>
      <c r="B124" s="63"/>
      <c r="C124" s="63"/>
      <c r="D124" s="63"/>
      <c r="E124" s="130" t="s">
        <v>66</v>
      </c>
      <c r="F124" s="132">
        <v>5.6</v>
      </c>
      <c r="G124" s="132">
        <v>271.19</v>
      </c>
      <c r="H124" s="60">
        <f>G124*F124</f>
        <v>1518.664</v>
      </c>
      <c r="I124" s="65"/>
    </row>
    <row r="125" spans="1:9" s="66" customFormat="1" ht="12.75">
      <c r="A125" s="130" t="s">
        <v>192</v>
      </c>
      <c r="B125" s="63"/>
      <c r="C125" s="63"/>
      <c r="D125" s="63"/>
      <c r="E125" s="130" t="s">
        <v>66</v>
      </c>
      <c r="F125" s="132">
        <v>5.6</v>
      </c>
      <c r="G125" s="132">
        <v>271.19</v>
      </c>
      <c r="H125" s="60">
        <f>G125*F125</f>
        <v>1518.664</v>
      </c>
      <c r="I125" s="65"/>
    </row>
    <row r="126" spans="1:9" s="66" customFormat="1" ht="12.75">
      <c r="A126" s="133" t="s">
        <v>154</v>
      </c>
      <c r="B126" s="134"/>
      <c r="C126" s="134"/>
      <c r="D126" s="134"/>
      <c r="E126" s="134"/>
      <c r="F126" s="134"/>
      <c r="G126" s="135"/>
      <c r="H126" s="50">
        <f>SUM(H122:H125)</f>
        <v>6128.893999999999</v>
      </c>
      <c r="I126" s="136"/>
    </row>
    <row r="127" spans="1:9" s="66" customFormat="1" ht="12.75">
      <c r="A127" s="62" t="s">
        <v>155</v>
      </c>
      <c r="B127" s="63"/>
      <c r="C127" s="63"/>
      <c r="D127" s="63"/>
      <c r="E127" s="64"/>
      <c r="F127" s="64"/>
      <c r="G127" s="64"/>
      <c r="H127" s="61" t="s">
        <v>156</v>
      </c>
      <c r="I127" s="65"/>
    </row>
    <row r="128" spans="1:256" s="66" customFormat="1" ht="12.75">
      <c r="A128" s="133" t="s">
        <v>157</v>
      </c>
      <c r="B128" s="134"/>
      <c r="C128" s="134"/>
      <c r="D128" s="134"/>
      <c r="E128" s="134"/>
      <c r="F128" s="134"/>
      <c r="G128" s="135"/>
      <c r="H128" s="50">
        <v>0</v>
      </c>
      <c r="I128" s="65"/>
      <c r="IV128" s="137">
        <f>SUM(H128:IU128)</f>
        <v>0</v>
      </c>
    </row>
    <row r="129" spans="1:9" s="66" customFormat="1" ht="12.75">
      <c r="A129" s="62" t="s">
        <v>158</v>
      </c>
      <c r="B129" s="63"/>
      <c r="C129" s="63"/>
      <c r="D129" s="63"/>
      <c r="E129" s="64"/>
      <c r="F129" s="64"/>
      <c r="G129" s="64"/>
      <c r="H129" s="61" t="s">
        <v>156</v>
      </c>
      <c r="I129" s="65"/>
    </row>
    <row r="130" spans="1:9" s="66" customFormat="1" ht="12.75">
      <c r="A130" s="130" t="s">
        <v>193</v>
      </c>
      <c r="B130" s="63"/>
      <c r="C130" s="63"/>
      <c r="D130" s="63"/>
      <c r="E130" s="130" t="s">
        <v>162</v>
      </c>
      <c r="F130" s="132">
        <v>3</v>
      </c>
      <c r="G130" s="132">
        <v>728.6</v>
      </c>
      <c r="H130" s="60">
        <f>G130*F130</f>
        <v>2185.8</v>
      </c>
      <c r="I130" s="65"/>
    </row>
    <row r="131" spans="1:9" s="66" customFormat="1" ht="12.75">
      <c r="A131" s="130" t="s">
        <v>194</v>
      </c>
      <c r="B131" s="63"/>
      <c r="C131" s="63"/>
      <c r="D131" s="63"/>
      <c r="E131" s="130" t="s">
        <v>186</v>
      </c>
      <c r="F131" s="132">
        <v>10</v>
      </c>
      <c r="G131" s="132">
        <v>4.01</v>
      </c>
      <c r="H131" s="60">
        <f>G131*F131</f>
        <v>40.099999999999994</v>
      </c>
      <c r="I131" s="65"/>
    </row>
    <row r="132" spans="1:9" s="66" customFormat="1" ht="12.75">
      <c r="A132" s="130" t="s">
        <v>195</v>
      </c>
      <c r="B132" s="63"/>
      <c r="C132" s="63"/>
      <c r="D132" s="63"/>
      <c r="E132" s="130" t="s">
        <v>197</v>
      </c>
      <c r="F132" s="132">
        <v>3</v>
      </c>
      <c r="G132" s="132">
        <v>590.4</v>
      </c>
      <c r="H132" s="60">
        <f>G132*F132</f>
        <v>1771.1999999999998</v>
      </c>
      <c r="I132" s="65"/>
    </row>
    <row r="133" spans="1:9" s="66" customFormat="1" ht="12.75">
      <c r="A133" s="130" t="s">
        <v>196</v>
      </c>
      <c r="B133" s="63"/>
      <c r="C133" s="63"/>
      <c r="D133" s="63"/>
      <c r="E133" s="130" t="s">
        <v>186</v>
      </c>
      <c r="F133" s="132">
        <v>15</v>
      </c>
      <c r="G133" s="132">
        <v>29.18</v>
      </c>
      <c r="H133" s="60">
        <f>G133*F133</f>
        <v>437.7</v>
      </c>
      <c r="I133" s="65"/>
    </row>
    <row r="134" spans="1:9" s="66" customFormat="1" ht="12.75">
      <c r="A134" s="133" t="s">
        <v>159</v>
      </c>
      <c r="B134" s="134"/>
      <c r="C134" s="134"/>
      <c r="D134" s="134"/>
      <c r="E134" s="134"/>
      <c r="F134" s="134"/>
      <c r="G134" s="135"/>
      <c r="H134" s="50">
        <f>SUM(H130:H133)</f>
        <v>4434.8</v>
      </c>
      <c r="I134" s="65"/>
    </row>
    <row r="135" spans="1:9" s="66" customFormat="1" ht="12.75">
      <c r="A135" s="62" t="s">
        <v>160</v>
      </c>
      <c r="B135" s="63"/>
      <c r="C135" s="63"/>
      <c r="D135" s="63"/>
      <c r="E135" s="64"/>
      <c r="F135" s="64"/>
      <c r="G135" s="64"/>
      <c r="H135" s="61"/>
      <c r="I135" s="65"/>
    </row>
    <row r="136" spans="1:9" s="66" customFormat="1" ht="12.75">
      <c r="A136" s="130" t="s">
        <v>198</v>
      </c>
      <c r="B136" s="63"/>
      <c r="C136" s="63"/>
      <c r="D136" s="63"/>
      <c r="E136" s="130" t="s">
        <v>161</v>
      </c>
      <c r="F136" s="132">
        <v>63</v>
      </c>
      <c r="G136" s="132">
        <v>2</v>
      </c>
      <c r="H136" s="60">
        <f>G136*F136</f>
        <v>126</v>
      </c>
      <c r="I136" s="65"/>
    </row>
    <row r="137" spans="1:9" s="66" customFormat="1" ht="12.75">
      <c r="A137" s="130" t="s">
        <v>199</v>
      </c>
      <c r="B137" s="63"/>
      <c r="C137" s="63"/>
      <c r="D137" s="63"/>
      <c r="E137" s="130" t="s">
        <v>147</v>
      </c>
      <c r="F137" s="138">
        <v>4</v>
      </c>
      <c r="G137" s="132">
        <v>592.37</v>
      </c>
      <c r="H137" s="60">
        <f>G137*F137</f>
        <v>2369.48</v>
      </c>
      <c r="I137" s="65"/>
    </row>
    <row r="138" spans="1:9" s="66" customFormat="1" ht="12.75">
      <c r="A138" s="130" t="s">
        <v>200</v>
      </c>
      <c r="B138" s="63"/>
      <c r="C138" s="63"/>
      <c r="D138" s="63"/>
      <c r="E138" s="130" t="s">
        <v>66</v>
      </c>
      <c r="F138" s="138">
        <v>19</v>
      </c>
      <c r="G138" s="132">
        <v>751.51</v>
      </c>
      <c r="H138" s="60">
        <f>G138*F138</f>
        <v>14278.69</v>
      </c>
      <c r="I138" s="65"/>
    </row>
    <row r="139" spans="1:9" s="66" customFormat="1" ht="12.75">
      <c r="A139" s="133" t="s">
        <v>163</v>
      </c>
      <c r="B139" s="134"/>
      <c r="C139" s="134"/>
      <c r="D139" s="134"/>
      <c r="E139" s="134"/>
      <c r="F139" s="134"/>
      <c r="G139" s="135"/>
      <c r="H139" s="50">
        <f>SUM(H136:H138)</f>
        <v>16774.170000000002</v>
      </c>
      <c r="I139" s="65"/>
    </row>
    <row r="140" spans="1:9" s="66" customFormat="1" ht="12.75">
      <c r="A140" s="62" t="s">
        <v>164</v>
      </c>
      <c r="B140" s="63"/>
      <c r="C140" s="63"/>
      <c r="D140" s="63"/>
      <c r="E140" s="64"/>
      <c r="F140" s="64"/>
      <c r="G140" s="64"/>
      <c r="H140" s="61" t="s">
        <v>156</v>
      </c>
      <c r="I140" s="65"/>
    </row>
    <row r="141" spans="1:9" s="66" customFormat="1" ht="12.75">
      <c r="A141" s="130" t="s">
        <v>201</v>
      </c>
      <c r="B141" s="63"/>
      <c r="C141" s="63"/>
      <c r="D141" s="63"/>
      <c r="E141" s="130" t="s">
        <v>204</v>
      </c>
      <c r="F141" s="138">
        <v>12.9</v>
      </c>
      <c r="G141" s="132">
        <v>259.79</v>
      </c>
      <c r="H141" s="60">
        <f>G141*F141</f>
        <v>3351.291</v>
      </c>
      <c r="I141" s="65"/>
    </row>
    <row r="142" spans="1:9" s="66" customFormat="1" ht="12.75">
      <c r="A142" s="130" t="s">
        <v>202</v>
      </c>
      <c r="B142" s="63"/>
      <c r="C142" s="63"/>
      <c r="D142" s="63"/>
      <c r="E142" s="130" t="s">
        <v>147</v>
      </c>
      <c r="F142" s="138">
        <v>1</v>
      </c>
      <c r="G142" s="132">
        <v>2854.75</v>
      </c>
      <c r="H142" s="60">
        <f>G142*F142</f>
        <v>2854.75</v>
      </c>
      <c r="I142" s="65"/>
    </row>
    <row r="143" spans="1:9" s="66" customFormat="1" ht="12.75">
      <c r="A143" s="130" t="s">
        <v>203</v>
      </c>
      <c r="B143" s="63"/>
      <c r="C143" s="63"/>
      <c r="D143" s="63"/>
      <c r="E143" s="130" t="s">
        <v>147</v>
      </c>
      <c r="F143" s="138">
        <v>1</v>
      </c>
      <c r="G143" s="132">
        <v>380</v>
      </c>
      <c r="H143" s="60">
        <f>G143*F143</f>
        <v>380</v>
      </c>
      <c r="I143" s="65"/>
    </row>
    <row r="144" spans="1:9" s="66" customFormat="1" ht="12.75">
      <c r="A144" s="133" t="s">
        <v>165</v>
      </c>
      <c r="B144" s="134"/>
      <c r="C144" s="134"/>
      <c r="D144" s="134"/>
      <c r="E144" s="134"/>
      <c r="F144" s="134"/>
      <c r="G144" s="135"/>
      <c r="H144" s="50">
        <f>SUM(H141:H143)</f>
        <v>6586.041</v>
      </c>
      <c r="I144" s="65"/>
    </row>
    <row r="145" spans="1:9" s="66" customFormat="1" ht="12.75">
      <c r="A145" s="62" t="s">
        <v>166</v>
      </c>
      <c r="B145" s="63"/>
      <c r="C145" s="63"/>
      <c r="D145" s="63"/>
      <c r="E145" s="64"/>
      <c r="F145" s="64"/>
      <c r="G145" s="64"/>
      <c r="H145" s="61" t="s">
        <v>156</v>
      </c>
      <c r="I145" s="65"/>
    </row>
    <row r="146" spans="1:9" s="66" customFormat="1" ht="12.75">
      <c r="A146" s="133" t="s">
        <v>167</v>
      </c>
      <c r="B146" s="134"/>
      <c r="C146" s="134"/>
      <c r="D146" s="134"/>
      <c r="E146" s="134"/>
      <c r="F146" s="134"/>
      <c r="G146" s="135"/>
      <c r="H146" s="50">
        <v>0</v>
      </c>
      <c r="I146" s="65"/>
    </row>
    <row r="147" spans="1:9" s="66" customFormat="1" ht="12.75">
      <c r="A147" s="62" t="s">
        <v>168</v>
      </c>
      <c r="B147" s="63"/>
      <c r="C147" s="63"/>
      <c r="D147" s="63"/>
      <c r="E147" s="64"/>
      <c r="F147" s="64"/>
      <c r="G147" s="64"/>
      <c r="H147" s="61" t="s">
        <v>156</v>
      </c>
      <c r="I147" s="65"/>
    </row>
    <row r="148" spans="1:9" s="66" customFormat="1" ht="12.75">
      <c r="A148" s="133" t="s">
        <v>169</v>
      </c>
      <c r="B148" s="134"/>
      <c r="C148" s="134"/>
      <c r="D148" s="134"/>
      <c r="E148" s="134"/>
      <c r="F148" s="134"/>
      <c r="G148" s="135"/>
      <c r="H148" s="50">
        <v>0</v>
      </c>
      <c r="I148" s="65"/>
    </row>
    <row r="149" spans="1:9" s="66" customFormat="1" ht="12.75">
      <c r="A149" s="62" t="s">
        <v>170</v>
      </c>
      <c r="B149" s="63"/>
      <c r="C149" s="63"/>
      <c r="D149" s="63"/>
      <c r="E149" s="64"/>
      <c r="F149" s="64"/>
      <c r="G149" s="64"/>
      <c r="H149" s="61" t="s">
        <v>156</v>
      </c>
      <c r="I149" s="65"/>
    </row>
    <row r="150" spans="1:9" s="66" customFormat="1" ht="12.75">
      <c r="A150" s="139" t="s">
        <v>205</v>
      </c>
      <c r="B150" s="63"/>
      <c r="C150" s="63"/>
      <c r="D150" s="63"/>
      <c r="E150" s="139" t="s">
        <v>147</v>
      </c>
      <c r="F150" s="140">
        <v>5</v>
      </c>
      <c r="G150" s="140">
        <v>676.7</v>
      </c>
      <c r="H150" s="60">
        <f>G150*F150</f>
        <v>3383.5</v>
      </c>
      <c r="I150" s="65"/>
    </row>
    <row r="151" spans="1:9" s="66" customFormat="1" ht="12.75">
      <c r="A151" s="139" t="s">
        <v>206</v>
      </c>
      <c r="B151" s="63"/>
      <c r="C151" s="63"/>
      <c r="D151" s="63"/>
      <c r="E151" s="139" t="s">
        <v>186</v>
      </c>
      <c r="F151" s="140">
        <v>12.5</v>
      </c>
      <c r="G151" s="140">
        <v>115.2</v>
      </c>
      <c r="H151" s="60">
        <f>G151*F151</f>
        <v>1440</v>
      </c>
      <c r="I151" s="65"/>
    </row>
    <row r="152" spans="1:9" s="66" customFormat="1" ht="12.75">
      <c r="A152" s="133" t="s">
        <v>171</v>
      </c>
      <c r="B152" s="134"/>
      <c r="C152" s="134"/>
      <c r="D152" s="134"/>
      <c r="E152" s="134"/>
      <c r="F152" s="134"/>
      <c r="G152" s="135"/>
      <c r="H152" s="50">
        <f>SUM(H150:H151)</f>
        <v>4823.5</v>
      </c>
      <c r="I152" s="65"/>
    </row>
    <row r="153" spans="1:9" s="66" customFormat="1" ht="12.75">
      <c r="A153" s="62" t="s">
        <v>172</v>
      </c>
      <c r="B153" s="63"/>
      <c r="C153" s="63"/>
      <c r="D153" s="63"/>
      <c r="E153" s="64"/>
      <c r="F153" s="64"/>
      <c r="G153" s="64"/>
      <c r="H153" s="61" t="s">
        <v>156</v>
      </c>
      <c r="I153" s="65"/>
    </row>
    <row r="154" spans="1:9" s="66" customFormat="1" ht="12.75">
      <c r="A154" s="139" t="s">
        <v>207</v>
      </c>
      <c r="B154" s="63"/>
      <c r="C154" s="63"/>
      <c r="D154" s="63"/>
      <c r="E154" s="139" t="s">
        <v>147</v>
      </c>
      <c r="F154" s="140">
        <v>14</v>
      </c>
      <c r="G154" s="140">
        <v>67.94</v>
      </c>
      <c r="H154" s="60">
        <f>G154*F154</f>
        <v>951.16</v>
      </c>
      <c r="I154" s="65"/>
    </row>
    <row r="155" spans="1:9" s="66" customFormat="1" ht="12.75">
      <c r="A155" s="139" t="s">
        <v>208</v>
      </c>
      <c r="B155" s="63"/>
      <c r="C155" s="63"/>
      <c r="D155" s="63"/>
      <c r="E155" s="139" t="s">
        <v>209</v>
      </c>
      <c r="F155" s="140">
        <v>9</v>
      </c>
      <c r="G155" s="140">
        <v>1672.51</v>
      </c>
      <c r="H155" s="60">
        <f>G155*F155</f>
        <v>15052.59</v>
      </c>
      <c r="I155" s="65"/>
    </row>
    <row r="156" spans="1:9" s="66" customFormat="1" ht="12.75">
      <c r="A156" s="133" t="s">
        <v>173</v>
      </c>
      <c r="B156" s="134"/>
      <c r="C156" s="134"/>
      <c r="D156" s="134"/>
      <c r="E156" s="134"/>
      <c r="F156" s="134"/>
      <c r="G156" s="135"/>
      <c r="H156" s="50">
        <f>SUM(H154:H155)</f>
        <v>16003.75</v>
      </c>
      <c r="I156" s="65"/>
    </row>
    <row r="157" spans="1:9" s="146" customFormat="1" ht="12.75">
      <c r="A157" s="141" t="s">
        <v>174</v>
      </c>
      <c r="B157" s="142"/>
      <c r="C157" s="142"/>
      <c r="D157" s="142"/>
      <c r="E157" s="143"/>
      <c r="F157" s="143"/>
      <c r="G157" s="143"/>
      <c r="H157" s="144">
        <v>19520.97</v>
      </c>
      <c r="I157" s="145"/>
    </row>
    <row r="158" spans="1:9" s="66" customFormat="1" ht="12.75">
      <c r="A158" s="133" t="s">
        <v>187</v>
      </c>
      <c r="B158" s="134"/>
      <c r="C158" s="134"/>
      <c r="D158" s="134"/>
      <c r="E158" s="134"/>
      <c r="F158" s="134"/>
      <c r="G158" s="135"/>
      <c r="H158" s="50">
        <f>+H157+H156+H152+H144+H139+H134+H126+H113</f>
        <v>74375.285</v>
      </c>
      <c r="I158" s="65"/>
    </row>
    <row r="159" spans="8:9" s="66" customFormat="1" ht="12.75">
      <c r="H159" s="137"/>
      <c r="I159" s="65"/>
    </row>
  </sheetData>
  <sheetProtection/>
  <mergeCells count="182">
    <mergeCell ref="A1:G1"/>
    <mergeCell ref="G3:G5"/>
    <mergeCell ref="H3:H5"/>
    <mergeCell ref="I4:J5"/>
    <mergeCell ref="A10:B10"/>
    <mergeCell ref="D10:F10"/>
    <mergeCell ref="I10:J12"/>
    <mergeCell ref="K10:K12"/>
    <mergeCell ref="D11:F11"/>
    <mergeCell ref="A12:B12"/>
    <mergeCell ref="D12:F12"/>
    <mergeCell ref="K7:K8"/>
    <mergeCell ref="A8:B8"/>
    <mergeCell ref="D8:F8"/>
    <mergeCell ref="A9:B9"/>
    <mergeCell ref="D9:F9"/>
    <mergeCell ref="A7:B7"/>
    <mergeCell ref="D7:F7"/>
    <mergeCell ref="I7:J8"/>
    <mergeCell ref="A13:B13"/>
    <mergeCell ref="D13:F13"/>
    <mergeCell ref="A11:B11"/>
    <mergeCell ref="K14:K15"/>
    <mergeCell ref="I15:J15"/>
    <mergeCell ref="D14:F14"/>
    <mergeCell ref="A18:B19"/>
    <mergeCell ref="C18:E18"/>
    <mergeCell ref="F18:H18"/>
    <mergeCell ref="C19:D19"/>
    <mergeCell ref="F19:G19"/>
    <mergeCell ref="A24:B24"/>
    <mergeCell ref="C24:E24"/>
    <mergeCell ref="F24:H24"/>
    <mergeCell ref="A23:B23"/>
    <mergeCell ref="C23:E23"/>
    <mergeCell ref="F23:H23"/>
    <mergeCell ref="A20:B20"/>
    <mergeCell ref="C20:D20"/>
    <mergeCell ref="F20:G20"/>
    <mergeCell ref="C22:E22"/>
    <mergeCell ref="F22:H22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F34:H34"/>
    <mergeCell ref="A30:B30"/>
    <mergeCell ref="C30:E30"/>
    <mergeCell ref="F30:H30"/>
    <mergeCell ref="A31:B31"/>
    <mergeCell ref="A33:B33"/>
    <mergeCell ref="C33:E33"/>
    <mergeCell ref="F33:H33"/>
    <mergeCell ref="A29:B29"/>
    <mergeCell ref="C29:E29"/>
    <mergeCell ref="F29:H29"/>
    <mergeCell ref="C31:E31"/>
    <mergeCell ref="F31:H31"/>
    <mergeCell ref="H38:H39"/>
    <mergeCell ref="I38:I39"/>
    <mergeCell ref="J38:J39"/>
    <mergeCell ref="A32:B32"/>
    <mergeCell ref="C32:E32"/>
    <mergeCell ref="F32:H32"/>
    <mergeCell ref="A36:C36"/>
    <mergeCell ref="D36:J36"/>
    <mergeCell ref="A34:B34"/>
    <mergeCell ref="C34:E34"/>
    <mergeCell ref="F37:J37"/>
    <mergeCell ref="A44:D44"/>
    <mergeCell ref="A45:D45"/>
    <mergeCell ref="A38:D39"/>
    <mergeCell ref="E38:E39"/>
    <mergeCell ref="A40:D40"/>
    <mergeCell ref="A41:D41"/>
    <mergeCell ref="A42:D42"/>
    <mergeCell ref="A43:D43"/>
    <mergeCell ref="F38:G38"/>
    <mergeCell ref="A56:D56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69:D69"/>
    <mergeCell ref="A58:D58"/>
    <mergeCell ref="A59:D59"/>
    <mergeCell ref="A60:D60"/>
    <mergeCell ref="A61:D61"/>
    <mergeCell ref="A62:D62"/>
    <mergeCell ref="A63:D63"/>
    <mergeCell ref="A70:D70"/>
    <mergeCell ref="A71:D71"/>
    <mergeCell ref="A72:D72"/>
    <mergeCell ref="A77:D77"/>
    <mergeCell ref="A73:D73"/>
    <mergeCell ref="A74:D74"/>
    <mergeCell ref="A75:D75"/>
    <mergeCell ref="A64:D64"/>
    <mergeCell ref="A65:D65"/>
    <mergeCell ref="A66:D66"/>
    <mergeCell ref="A67:D67"/>
    <mergeCell ref="A76:D76"/>
    <mergeCell ref="A79:D79"/>
    <mergeCell ref="A81:D81"/>
    <mergeCell ref="E81:H81"/>
    <mergeCell ref="E79:H79"/>
    <mergeCell ref="A80:D80"/>
    <mergeCell ref="E80:H80"/>
    <mergeCell ref="A78:D78"/>
    <mergeCell ref="A84:D84"/>
    <mergeCell ref="E84:H84"/>
    <mergeCell ref="A82:D82"/>
    <mergeCell ref="E82:H82"/>
    <mergeCell ref="A83:D83"/>
    <mergeCell ref="E83:H83"/>
    <mergeCell ref="A87:D87"/>
    <mergeCell ref="E87:H87"/>
    <mergeCell ref="A88:D88"/>
    <mergeCell ref="E88:H88"/>
    <mergeCell ref="A90:D90"/>
    <mergeCell ref="E90:H90"/>
    <mergeCell ref="A89:D89"/>
    <mergeCell ref="E89:H89"/>
    <mergeCell ref="A85:D85"/>
    <mergeCell ref="E85:H85"/>
    <mergeCell ref="A86:D86"/>
    <mergeCell ref="E86:H86"/>
    <mergeCell ref="G105:H105"/>
    <mergeCell ref="A104:B104"/>
    <mergeCell ref="C104:D104"/>
    <mergeCell ref="E104:F104"/>
    <mergeCell ref="G104:H104"/>
    <mergeCell ref="A105:B105"/>
    <mergeCell ref="C105:D105"/>
    <mergeCell ref="E105:F105"/>
    <mergeCell ref="A91:D91"/>
    <mergeCell ref="A92:D92"/>
    <mergeCell ref="A93:D93"/>
    <mergeCell ref="A94:I94"/>
    <mergeCell ref="A95:I95"/>
    <mergeCell ref="A96:I96"/>
    <mergeCell ref="G101:H101"/>
    <mergeCell ref="A101:B101"/>
    <mergeCell ref="A97:I97"/>
    <mergeCell ref="G100:H100"/>
    <mergeCell ref="C101:D101"/>
    <mergeCell ref="E101:F101"/>
    <mergeCell ref="A100:B100"/>
    <mergeCell ref="C100:D100"/>
    <mergeCell ref="E100:F100"/>
    <mergeCell ref="A158:G158"/>
    <mergeCell ref="E102:F102"/>
    <mergeCell ref="A134:G134"/>
    <mergeCell ref="A110:D110"/>
    <mergeCell ref="A113:G113"/>
    <mergeCell ref="A115:G115"/>
    <mergeCell ref="A120:G120"/>
    <mergeCell ref="A156:G156"/>
    <mergeCell ref="A139:G139"/>
    <mergeCell ref="A107:E108"/>
    <mergeCell ref="A152:G152"/>
    <mergeCell ref="A144:G144"/>
    <mergeCell ref="A146:G146"/>
    <mergeCell ref="A148:G148"/>
    <mergeCell ref="A126:G126"/>
    <mergeCell ref="A128:G1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2013-02-23T16:16:33Z</dcterms:modified>
  <cp:category/>
  <cp:version/>
  <cp:contentType/>
  <cp:contentStatus/>
</cp:coreProperties>
</file>