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705" windowWidth="12120" windowHeight="12465" activeTab="0"/>
  </bookViews>
  <sheets>
    <sheet name="Б.Серпуховская 22" sheetId="1" r:id="rId1"/>
  </sheets>
  <definedNames/>
  <calcPr fullCalcOnLoad="1"/>
</workbook>
</file>

<file path=xl/sharedStrings.xml><?xml version="1.0" encoding="utf-8"?>
<sst xmlns="http://schemas.openxmlformats.org/spreadsheetml/2006/main" count="242" uniqueCount="198">
  <si>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</si>
  <si>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</si>
  <si>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</si>
  <si>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</si>
  <si>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</si>
  <si>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</si>
  <si>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</si>
  <si>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</si>
  <si>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</si>
  <si>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</si>
  <si>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</si>
  <si>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</si>
  <si>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</si>
  <si>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</si>
  <si>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</si>
  <si>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</si>
  <si>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</si>
  <si>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</si>
  <si>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</si>
  <si>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</si>
  <si>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</si>
  <si>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</si>
  <si>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</si>
  <si>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</si>
  <si>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</si>
  <si>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</si>
  <si>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</si>
  <si>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</si>
  <si>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</si>
  <si>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</si>
  <si>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</si>
  <si>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</si>
  <si>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</si>
  <si>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</si>
  <si>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</si>
  <si>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</si>
  <si>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</si>
  <si>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</si>
  <si>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</si>
  <si>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</si>
  <si>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</si>
  <si>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</si>
  <si>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</si>
  <si>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</si>
  <si>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</si>
  <si>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</si>
  <si>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</si>
  <si>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</si>
  <si>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</si>
  <si>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</si>
  <si>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</si>
  <si>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</si>
  <si>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</si>
  <si>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</si>
  <si>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</si>
  <si>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</si>
  <si>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</si>
  <si>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</si>
  <si>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</si>
  <si>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</si>
  <si>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</si>
  <si>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</si>
  <si>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</si>
  <si>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</si>
  <si>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</si>
  <si>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</si>
  <si>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</si>
  <si>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</si>
  <si>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</si>
  <si>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</si>
  <si>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</si>
  <si>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</si>
  <si>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</si>
  <si>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</si>
  <si>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</si>
  <si>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</si>
  <si>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</si>
  <si>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</si>
  <si>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</si>
  <si>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</si>
  <si>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</si>
  <si>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</si>
  <si>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</si>
  <si>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</si>
  <si>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</si>
  <si>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</si>
  <si>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</si>
  <si>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</si>
  <si>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</si>
  <si>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</si>
  <si>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</si>
  <si>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</si>
  <si>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</si>
  <si>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</si>
  <si>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</si>
  <si>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</si>
  <si>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</si>
  <si>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</si>
  <si>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</si>
  <si>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</si>
  <si>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</si>
  <si>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</si>
  <si>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</si>
  <si>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</si>
  <si>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</si>
  <si>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</si>
  <si>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</si>
  <si>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</si>
  <si>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</si>
  <si>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</si>
  <si>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</si>
  <si>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</si>
  <si>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</si>
  <si>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</si>
  <si>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</si>
  <si>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</si>
  <si>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</si>
  <si>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</si>
  <si>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</si>
  <si>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</si>
  <si>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</si>
  <si>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</si>
  <si>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</si>
  <si>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</si>
  <si>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</si>
  <si>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</si>
  <si>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</si>
  <si>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</si>
  <si>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</si>
  <si>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</si>
  <si>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</si>
  <si>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</si>
  <si>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</si>
  <si>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</si>
  <si>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</si>
  <si>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</si>
  <si>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</si>
  <si>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</si>
  <si>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</si>
  <si>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металл</t>
  </si>
  <si>
    <t>ф50-3шт</t>
  </si>
  <si>
    <t>вентиль - 6шт</t>
  </si>
  <si>
    <t>кран - 4шт</t>
  </si>
  <si>
    <t>вентиль-8шт</t>
  </si>
  <si>
    <t>ЯНВАРЬ</t>
  </si>
  <si>
    <t>ИТОГО за ЯНВАРЬ</t>
  </si>
  <si>
    <t>ФЕВРАЛЬ</t>
  </si>
  <si>
    <t>шт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</si>
  <si>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</si>
  <si>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</si>
  <si>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</si>
  <si>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</si>
  <si>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</si>
  <si>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</si>
  <si>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</si>
  <si>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</si>
  <si>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</si>
  <si>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</si>
  <si>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</si>
  <si>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</si>
  <si>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</si>
  <si>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</si>
  <si>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</si>
  <si>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</si>
  <si>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</si>
  <si>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</si>
  <si>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</si>
  <si>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</si>
  <si>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</si>
  <si>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</si>
  <si>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ВСЕГО ЗА ГОД</t>
  </si>
  <si>
    <t>м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</si>
  <si>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</si>
  <si>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</si>
  <si>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</si>
  <si>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</si>
  <si>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</si>
  <si>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</si>
  <si>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</si>
  <si>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</si>
  <si>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</si>
  <si>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</si>
  <si>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отчет по затратам на содержание и ремонт общего имущества многоквартирного дома по адресу: ул. Б.Серпуховская, д. 22 за 2012 год</t>
  </si>
  <si>
    <t>Начислено за 2012 год</t>
  </si>
  <si>
    <t>кран пробко-сальниковый Д=20 мм</t>
  </si>
  <si>
    <t>арматура</t>
  </si>
  <si>
    <t>угол р/пол 45*45*4</t>
  </si>
  <si>
    <t>м.п</t>
  </si>
  <si>
    <t>нипель латунь Д=20 мм(хвс)</t>
  </si>
  <si>
    <t>компесатор ДУ 110 пвх мм(вк)</t>
  </si>
  <si>
    <t>муфта ДУ 110  мм(вк)</t>
  </si>
  <si>
    <t>переход  ДУ 110 с чуг. на пласт.  мм(вк)</t>
  </si>
  <si>
    <t>переход  ДУ 110/50 мм(вк)</t>
  </si>
  <si>
    <t>отвод  ДУ 110/45 мм(вк)</t>
  </si>
  <si>
    <t>ревизия  ДУ 110 мм(вк)</t>
  </si>
  <si>
    <t>труба пвх  ДУ 110 мм(вк)</t>
  </si>
  <si>
    <t>ДОХОДЫ ДОМА ЗА ПЕРИОД  __2012 год____________</t>
  </si>
  <si>
    <t>Начислено за 2006-2011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</si>
</sst>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4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07">
      <selection activeCell="H147" sqref="H147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95" t="s">
        <v>182</v>
      </c>
      <c r="B1" s="95"/>
      <c r="C1" s="95"/>
      <c r="D1" s="95"/>
      <c r="E1" s="95"/>
      <c r="F1" s="95"/>
      <c r="G1" s="95"/>
      <c r="I1"/>
    </row>
    <row r="2" spans="1:12" ht="12.75">
      <c r="A2" t="s">
        <v>0</v>
      </c>
      <c r="C2">
        <v>1926</v>
      </c>
      <c r="D2" t="s">
        <v>1</v>
      </c>
      <c r="F2">
        <v>3</v>
      </c>
      <c r="G2" t="s">
        <v>2</v>
      </c>
      <c r="H2" s="31">
        <v>24</v>
      </c>
      <c r="I2" s="2"/>
      <c r="J2" s="3" t="s">
        <v>172</v>
      </c>
      <c r="K2" s="2" t="s">
        <v>3</v>
      </c>
      <c r="L2" s="3" t="s">
        <v>4</v>
      </c>
    </row>
    <row r="3" spans="1:12" ht="12.75">
      <c r="A3" t="s">
        <v>5</v>
      </c>
      <c r="C3">
        <v>43</v>
      </c>
      <c r="D3" t="s">
        <v>6</v>
      </c>
      <c r="F3">
        <v>2</v>
      </c>
      <c r="G3" s="96" t="s">
        <v>7</v>
      </c>
      <c r="H3" s="99">
        <v>0</v>
      </c>
      <c r="I3" s="2" t="s">
        <v>8</v>
      </c>
      <c r="J3" s="2">
        <v>246</v>
      </c>
      <c r="K3" s="52" t="s">
        <v>140</v>
      </c>
      <c r="L3" s="52" t="s">
        <v>141</v>
      </c>
    </row>
    <row r="4" spans="1:12" ht="12.75">
      <c r="A4" t="s">
        <v>9</v>
      </c>
      <c r="C4" t="s">
        <v>132</v>
      </c>
      <c r="D4" t="s">
        <v>10</v>
      </c>
      <c r="F4" s="44" t="s">
        <v>133</v>
      </c>
      <c r="G4" s="97"/>
      <c r="H4" s="100"/>
      <c r="I4" s="102"/>
      <c r="J4" s="103"/>
      <c r="K4" s="52"/>
      <c r="L4" s="52" t="s">
        <v>142</v>
      </c>
    </row>
    <row r="5" spans="1:12" ht="12.75">
      <c r="A5" t="s">
        <v>11</v>
      </c>
      <c r="C5" t="s">
        <v>139</v>
      </c>
      <c r="D5" t="s">
        <v>12</v>
      </c>
      <c r="F5">
        <v>0</v>
      </c>
      <c r="G5" s="98"/>
      <c r="H5" s="101"/>
      <c r="I5" s="104"/>
      <c r="J5" s="105"/>
      <c r="K5" s="52"/>
      <c r="L5" s="53"/>
    </row>
    <row r="6" spans="9:12" ht="12.75">
      <c r="I6" s="2" t="s">
        <v>13</v>
      </c>
      <c r="J6" s="2"/>
      <c r="K6" s="53"/>
      <c r="L6" s="54"/>
    </row>
    <row r="7" spans="1:12" ht="12.75">
      <c r="A7" s="109" t="s">
        <v>14</v>
      </c>
      <c r="B7" s="111"/>
      <c r="C7" s="1" t="s">
        <v>15</v>
      </c>
      <c r="D7" s="109" t="s">
        <v>16</v>
      </c>
      <c r="E7" s="110"/>
      <c r="F7" s="111"/>
      <c r="G7" s="1" t="s">
        <v>15</v>
      </c>
      <c r="I7" s="102"/>
      <c r="J7" s="103"/>
      <c r="K7" s="106"/>
      <c r="L7" s="52"/>
    </row>
    <row r="8" spans="1:12" ht="12.75">
      <c r="A8" s="108" t="s">
        <v>17</v>
      </c>
      <c r="B8" s="108"/>
      <c r="C8">
        <v>1214.9</v>
      </c>
      <c r="D8" s="109" t="s">
        <v>18</v>
      </c>
      <c r="E8" s="110"/>
      <c r="F8" s="111"/>
      <c r="G8" s="45">
        <f>108.4+64.3</f>
        <v>172.7</v>
      </c>
      <c r="I8" s="104"/>
      <c r="J8" s="105"/>
      <c r="K8" s="107"/>
      <c r="L8" s="52"/>
    </row>
    <row r="9" spans="1:12" ht="12.75">
      <c r="A9" s="108" t="s">
        <v>19</v>
      </c>
      <c r="B9" s="108"/>
      <c r="C9">
        <v>703.4</v>
      </c>
      <c r="D9" s="109" t="s">
        <v>20</v>
      </c>
      <c r="E9" s="110"/>
      <c r="F9" s="111"/>
      <c r="G9" s="51">
        <v>996.4</v>
      </c>
      <c r="I9" s="2" t="s">
        <v>21</v>
      </c>
      <c r="J9" s="2">
        <v>123</v>
      </c>
      <c r="K9" s="52"/>
      <c r="L9" s="52" t="s">
        <v>143</v>
      </c>
    </row>
    <row r="10" spans="1:12" ht="12.75">
      <c r="A10" s="108" t="s">
        <v>22</v>
      </c>
      <c r="B10" s="108"/>
      <c r="C10" s="45">
        <v>511.5</v>
      </c>
      <c r="D10" s="109" t="s">
        <v>23</v>
      </c>
      <c r="E10" s="110"/>
      <c r="F10" s="111"/>
      <c r="G10">
        <f>1021+817</f>
        <v>1838</v>
      </c>
      <c r="I10" s="117"/>
      <c r="J10" s="117"/>
      <c r="K10" s="106"/>
      <c r="L10" s="52"/>
    </row>
    <row r="11" spans="1:12" ht="12.75" customHeight="1">
      <c r="A11" s="108" t="s">
        <v>24</v>
      </c>
      <c r="B11" s="108"/>
      <c r="C11">
        <v>523</v>
      </c>
      <c r="D11" s="109" t="s">
        <v>25</v>
      </c>
      <c r="E11" s="110"/>
      <c r="F11" s="111"/>
      <c r="G11">
        <v>0</v>
      </c>
      <c r="I11" s="117"/>
      <c r="J11" s="117"/>
      <c r="K11" s="118"/>
      <c r="L11" s="52"/>
    </row>
    <row r="12" spans="1:12" ht="12.75">
      <c r="A12" s="108" t="s">
        <v>26</v>
      </c>
      <c r="B12" s="108"/>
      <c r="C12" s="5">
        <v>75</v>
      </c>
      <c r="D12" s="109" t="s">
        <v>27</v>
      </c>
      <c r="E12" s="110"/>
      <c r="F12" s="111"/>
      <c r="G12">
        <v>1372</v>
      </c>
      <c r="I12" s="117"/>
      <c r="J12" s="117"/>
      <c r="K12" s="118"/>
      <c r="L12" s="52"/>
    </row>
    <row r="13" spans="1:12" ht="12.75">
      <c r="A13" s="112" t="s">
        <v>28</v>
      </c>
      <c r="B13" s="112"/>
      <c r="C13" s="5">
        <v>650</v>
      </c>
      <c r="D13" s="109" t="s">
        <v>29</v>
      </c>
      <c r="E13" s="110"/>
      <c r="F13" s="111"/>
      <c r="G13">
        <v>3314</v>
      </c>
      <c r="I13" s="4"/>
      <c r="J13" s="2" t="s">
        <v>172</v>
      </c>
      <c r="K13" s="55" t="s">
        <v>30</v>
      </c>
      <c r="L13" s="55" t="s">
        <v>31</v>
      </c>
    </row>
    <row r="14" spans="4:12" ht="12.75">
      <c r="D14" s="109" t="s">
        <v>32</v>
      </c>
      <c r="E14" s="110"/>
      <c r="F14" s="111"/>
      <c r="G14" s="7">
        <v>708</v>
      </c>
      <c r="I14" s="2" t="s">
        <v>33</v>
      </c>
      <c r="J14" s="8">
        <v>123</v>
      </c>
      <c r="K14" s="113" t="s">
        <v>34</v>
      </c>
      <c r="L14" s="3"/>
    </row>
    <row r="15" spans="6:12" ht="12.75">
      <c r="F15" s="9" t="s">
        <v>35</v>
      </c>
      <c r="G15" s="73">
        <v>13.2</v>
      </c>
      <c r="I15" s="115"/>
      <c r="J15" s="116"/>
      <c r="K15" s="114"/>
      <c r="L15" s="3"/>
    </row>
    <row r="16" ht="12.75">
      <c r="B16" t="s">
        <v>196</v>
      </c>
    </row>
    <row r="18" spans="1:9" ht="39.75" customHeight="1">
      <c r="A18" s="119" t="s">
        <v>36</v>
      </c>
      <c r="B18" s="119"/>
      <c r="C18" s="112" t="s">
        <v>173</v>
      </c>
      <c r="D18" s="112"/>
      <c r="E18" s="112"/>
      <c r="F18" s="120" t="s">
        <v>37</v>
      </c>
      <c r="G18" s="121"/>
      <c r="H18" s="122"/>
      <c r="I18" s="10"/>
    </row>
    <row r="19" spans="1:8" ht="31.5" customHeight="1">
      <c r="A19" s="119"/>
      <c r="B19" s="119"/>
      <c r="C19" s="120" t="s">
        <v>38</v>
      </c>
      <c r="D19" s="122"/>
      <c r="E19" s="11" t="s">
        <v>39</v>
      </c>
      <c r="F19" s="120" t="s">
        <v>38</v>
      </c>
      <c r="G19" s="122"/>
      <c r="H19" s="32" t="s">
        <v>40</v>
      </c>
    </row>
    <row r="20" spans="1:8" ht="25.5" customHeight="1">
      <c r="A20" s="123" t="s">
        <v>41</v>
      </c>
      <c r="B20" s="123"/>
      <c r="C20" s="124">
        <f>C8*12*G15</f>
        <v>192440.16</v>
      </c>
      <c r="D20" s="125"/>
      <c r="E20" s="13">
        <v>0</v>
      </c>
      <c r="F20" s="124">
        <f>SUM(F23:H34)</f>
        <v>150538.963</v>
      </c>
      <c r="G20" s="125"/>
      <c r="H20" s="63">
        <f>(I23+I24+I25+I26+I27+I28+I30+I29+I31+I32+I34+I33)/0.12</f>
        <v>78.22637592901606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12" t="s">
        <v>174</v>
      </c>
      <c r="D22" s="112"/>
      <c r="E22" s="112"/>
      <c r="F22" s="126" t="s">
        <v>42</v>
      </c>
      <c r="G22" s="126"/>
      <c r="H22" s="126"/>
      <c r="I22" s="13" t="s">
        <v>40</v>
      </c>
    </row>
    <row r="23" spans="1:9" ht="12.75">
      <c r="A23" s="112" t="s">
        <v>43</v>
      </c>
      <c r="B23" s="112"/>
      <c r="C23" s="126">
        <f>(C20+E20)/12</f>
        <v>16036.68</v>
      </c>
      <c r="D23" s="126"/>
      <c r="E23" s="126"/>
      <c r="F23" s="126">
        <v>12276.5</v>
      </c>
      <c r="G23" s="126"/>
      <c r="H23" s="126"/>
      <c r="I23" s="35">
        <f>F23*100%/C23</f>
        <v>0.7655262810008057</v>
      </c>
    </row>
    <row r="24" spans="1:9" ht="12.75">
      <c r="A24" s="112" t="s">
        <v>44</v>
      </c>
      <c r="B24" s="112"/>
      <c r="C24" s="126">
        <f>(C20+E20)/12</f>
        <v>16036.68</v>
      </c>
      <c r="D24" s="126"/>
      <c r="E24" s="126"/>
      <c r="F24" s="126">
        <v>16656.78</v>
      </c>
      <c r="G24" s="126"/>
      <c r="H24" s="126"/>
      <c r="I24" s="35">
        <f aca="true" t="shared" si="0" ref="I24:I34">F24*100%/C24</f>
        <v>1.0386676045166454</v>
      </c>
    </row>
    <row r="25" spans="1:9" ht="12.75">
      <c r="A25" s="112" t="s">
        <v>45</v>
      </c>
      <c r="B25" s="112"/>
      <c r="C25" s="126">
        <f>(C20+E20)/12</f>
        <v>16036.68</v>
      </c>
      <c r="D25" s="126"/>
      <c r="E25" s="126"/>
      <c r="F25" s="126">
        <v>12312.49</v>
      </c>
      <c r="G25" s="126"/>
      <c r="H25" s="126"/>
      <c r="I25" s="35">
        <f t="shared" si="0"/>
        <v>0.7677705111032956</v>
      </c>
    </row>
    <row r="26" spans="1:9" ht="12.75">
      <c r="A26" s="112" t="s">
        <v>46</v>
      </c>
      <c r="B26" s="112"/>
      <c r="C26" s="126">
        <f>(C20+E20)/12</f>
        <v>16036.68</v>
      </c>
      <c r="D26" s="126"/>
      <c r="E26" s="126"/>
      <c r="F26" s="126">
        <v>11869.77</v>
      </c>
      <c r="G26" s="126"/>
      <c r="H26" s="126"/>
      <c r="I26" s="35">
        <f t="shared" si="0"/>
        <v>0.7401637994896699</v>
      </c>
    </row>
    <row r="27" spans="1:9" ht="12.75">
      <c r="A27" s="112" t="s">
        <v>47</v>
      </c>
      <c r="B27" s="112"/>
      <c r="C27" s="126">
        <f>(C20+E20)/12</f>
        <v>16036.68</v>
      </c>
      <c r="D27" s="126"/>
      <c r="E27" s="126"/>
      <c r="F27" s="126">
        <v>9563.47</v>
      </c>
      <c r="G27" s="126"/>
      <c r="H27" s="126"/>
      <c r="I27" s="35">
        <f t="shared" si="0"/>
        <v>0.5963497432136826</v>
      </c>
    </row>
    <row r="28" spans="1:9" ht="12.75">
      <c r="A28" s="112" t="s">
        <v>48</v>
      </c>
      <c r="B28" s="112"/>
      <c r="C28" s="126">
        <f>(C20+E20)/12</f>
        <v>16036.68</v>
      </c>
      <c r="D28" s="126"/>
      <c r="E28" s="126"/>
      <c r="F28" s="126">
        <v>11647.2</v>
      </c>
      <c r="G28" s="126"/>
      <c r="H28" s="126"/>
      <c r="I28" s="35">
        <f t="shared" si="0"/>
        <v>0.7262849916566272</v>
      </c>
    </row>
    <row r="29" spans="1:9" ht="12.75">
      <c r="A29" s="112" t="s">
        <v>49</v>
      </c>
      <c r="B29" s="112"/>
      <c r="C29" s="126">
        <f>(C20+E20)/12</f>
        <v>16036.68</v>
      </c>
      <c r="D29" s="126"/>
      <c r="E29" s="126"/>
      <c r="F29" s="126">
        <v>15020.93</v>
      </c>
      <c r="G29" s="126"/>
      <c r="H29" s="126"/>
      <c r="I29" s="35">
        <f t="shared" si="0"/>
        <v>0.936660830047117</v>
      </c>
    </row>
    <row r="30" spans="1:9" ht="12.75">
      <c r="A30" s="112" t="s">
        <v>50</v>
      </c>
      <c r="B30" s="112"/>
      <c r="C30" s="126">
        <f>(C20+E20)/12</f>
        <v>16036.68</v>
      </c>
      <c r="D30" s="126"/>
      <c r="E30" s="126"/>
      <c r="F30" s="126">
        <v>11820.24</v>
      </c>
      <c r="G30" s="126"/>
      <c r="H30" s="126"/>
      <c r="I30" s="35">
        <f t="shared" si="0"/>
        <v>0.737075254977963</v>
      </c>
    </row>
    <row r="31" spans="1:9" ht="12.75">
      <c r="A31" s="112" t="s">
        <v>51</v>
      </c>
      <c r="B31" s="112"/>
      <c r="C31" s="126">
        <f>(C20+E20)/12</f>
        <v>16036.68</v>
      </c>
      <c r="D31" s="126"/>
      <c r="E31" s="126"/>
      <c r="F31" s="126">
        <v>12647.32</v>
      </c>
      <c r="G31" s="126"/>
      <c r="H31" s="126"/>
      <c r="I31" s="35">
        <f t="shared" si="0"/>
        <v>0.788649520973169</v>
      </c>
    </row>
    <row r="32" spans="1:9" ht="12.75">
      <c r="A32" s="112" t="s">
        <v>52</v>
      </c>
      <c r="B32" s="112"/>
      <c r="C32" s="126">
        <f>(C20+E20)/12</f>
        <v>16036.68</v>
      </c>
      <c r="D32" s="126"/>
      <c r="E32" s="126"/>
      <c r="F32" s="126">
        <v>12561.07</v>
      </c>
      <c r="G32" s="126"/>
      <c r="H32" s="126"/>
      <c r="I32" s="35">
        <f t="shared" si="0"/>
        <v>0.7832712257150483</v>
      </c>
    </row>
    <row r="33" spans="1:9" ht="12.75">
      <c r="A33" s="112" t="s">
        <v>53</v>
      </c>
      <c r="B33" s="112"/>
      <c r="C33" s="126">
        <f>(C20+E20)/12</f>
        <v>16036.68</v>
      </c>
      <c r="D33" s="126"/>
      <c r="E33" s="126"/>
      <c r="F33" s="126">
        <v>10698.25</v>
      </c>
      <c r="G33" s="126"/>
      <c r="H33" s="126"/>
      <c r="I33" s="35">
        <f t="shared" si="0"/>
        <v>0.6671112724080046</v>
      </c>
    </row>
    <row r="34" spans="1:9" ht="12.75">
      <c r="A34" s="112" t="s">
        <v>54</v>
      </c>
      <c r="B34" s="112"/>
      <c r="C34" s="126">
        <f>(C20+E20)/12</f>
        <v>16036.68</v>
      </c>
      <c r="D34" s="126"/>
      <c r="E34" s="126"/>
      <c r="F34" s="126">
        <v>13464.943</v>
      </c>
      <c r="G34" s="126"/>
      <c r="H34" s="126"/>
      <c r="I34" s="35">
        <f t="shared" si="0"/>
        <v>0.8396340763798991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27" t="s">
        <v>55</v>
      </c>
      <c r="B36" s="127"/>
      <c r="C36" s="127"/>
      <c r="D36" s="128" t="s">
        <v>175</v>
      </c>
      <c r="E36" s="128"/>
      <c r="F36" s="128"/>
      <c r="G36" s="128"/>
      <c r="H36" s="128"/>
      <c r="I36" s="128"/>
      <c r="J36" s="128"/>
    </row>
    <row r="37" spans="6:10" ht="12.75">
      <c r="F37" s="129" t="s">
        <v>56</v>
      </c>
      <c r="G37" s="129"/>
      <c r="H37" s="129"/>
      <c r="I37" s="129"/>
      <c r="J37" s="129"/>
    </row>
    <row r="38" spans="1:11" ht="36" customHeight="1">
      <c r="A38" s="130" t="s">
        <v>57</v>
      </c>
      <c r="B38" s="130"/>
      <c r="C38" s="130"/>
      <c r="D38" s="130"/>
      <c r="E38" s="130" t="s">
        <v>176</v>
      </c>
      <c r="F38" s="112" t="s">
        <v>58</v>
      </c>
      <c r="G38" s="112"/>
      <c r="H38" s="131" t="s">
        <v>59</v>
      </c>
      <c r="I38" s="112" t="s">
        <v>60</v>
      </c>
      <c r="J38" s="112" t="s">
        <v>61</v>
      </c>
      <c r="K38" s="18"/>
    </row>
    <row r="39" spans="1:11" ht="51" customHeight="1">
      <c r="A39" s="130"/>
      <c r="B39" s="130"/>
      <c r="C39" s="130"/>
      <c r="D39" s="130"/>
      <c r="E39" s="130"/>
      <c r="F39" s="16" t="s">
        <v>62</v>
      </c>
      <c r="G39" s="11" t="s">
        <v>63</v>
      </c>
      <c r="H39" s="131"/>
      <c r="I39" s="112"/>
      <c r="J39" s="112"/>
      <c r="K39" s="18"/>
    </row>
    <row r="40" spans="1:10" s="21" customFormat="1" ht="12.75">
      <c r="A40" s="132" t="s">
        <v>38</v>
      </c>
      <c r="B40" s="132"/>
      <c r="C40" s="132"/>
      <c r="D40" s="132"/>
      <c r="E40" s="12"/>
      <c r="F40" s="19"/>
      <c r="G40" s="12"/>
      <c r="H40" s="34"/>
      <c r="I40" s="6"/>
      <c r="J40" s="20"/>
    </row>
    <row r="41" spans="1:10" s="21" customFormat="1" ht="12.75">
      <c r="A41" s="132" t="s">
        <v>64</v>
      </c>
      <c r="B41" s="132"/>
      <c r="C41" s="132"/>
      <c r="D41" s="132"/>
      <c r="E41" s="12"/>
      <c r="F41" s="19"/>
      <c r="G41" s="12"/>
      <c r="H41" s="24"/>
      <c r="I41" s="6"/>
      <c r="J41" s="20"/>
    </row>
    <row r="42" spans="1:11" s="21" customFormat="1" ht="12.75">
      <c r="A42" s="123" t="s">
        <v>65</v>
      </c>
      <c r="B42" s="123"/>
      <c r="C42" s="123"/>
      <c r="D42" s="123"/>
      <c r="E42" s="12" t="s">
        <v>66</v>
      </c>
      <c r="F42" s="19">
        <f>C13</f>
        <v>650</v>
      </c>
      <c r="G42" s="6">
        <v>3</v>
      </c>
      <c r="H42" s="24">
        <v>0.012</v>
      </c>
      <c r="I42" s="22">
        <f aca="true" t="shared" si="1" ref="I42:I47">10299.67/21/8</f>
        <v>61.30755952380952</v>
      </c>
      <c r="J42" s="20">
        <f aca="true" t="shared" si="2" ref="J42:J47">F42*H42*I42*G42</f>
        <v>1434.5968928571428</v>
      </c>
      <c r="K42" s="23"/>
    </row>
    <row r="43" spans="1:11" s="21" customFormat="1" ht="28.5" customHeight="1">
      <c r="A43" s="123" t="s">
        <v>67</v>
      </c>
      <c r="B43" s="123"/>
      <c r="C43" s="123"/>
      <c r="D43" s="123"/>
      <c r="E43" s="12" t="s">
        <v>66</v>
      </c>
      <c r="F43" s="19">
        <f>G8*4</f>
        <v>690.8</v>
      </c>
      <c r="G43" s="6">
        <v>2</v>
      </c>
      <c r="H43" s="24">
        <v>0.012</v>
      </c>
      <c r="I43" s="22">
        <f t="shared" si="1"/>
        <v>61.30755952380952</v>
      </c>
      <c r="J43" s="20">
        <f t="shared" si="2"/>
        <v>1016.4302908571428</v>
      </c>
      <c r="K43" s="23"/>
    </row>
    <row r="44" spans="1:11" s="21" customFormat="1" ht="26.25" customHeight="1">
      <c r="A44" s="123" t="s">
        <v>177</v>
      </c>
      <c r="B44" s="123"/>
      <c r="C44" s="123"/>
      <c r="D44" s="123"/>
      <c r="E44" s="12" t="s">
        <v>66</v>
      </c>
      <c r="F44" s="19">
        <f>F3*2.5+F42</f>
        <v>655</v>
      </c>
      <c r="G44" s="6">
        <v>4</v>
      </c>
      <c r="H44" s="24">
        <v>0.012</v>
      </c>
      <c r="I44" s="22">
        <f t="shared" si="1"/>
        <v>61.30755952380952</v>
      </c>
      <c r="J44" s="20">
        <f t="shared" si="2"/>
        <v>1927.5096714285714</v>
      </c>
      <c r="K44" s="23"/>
    </row>
    <row r="45" spans="1:11" s="21" customFormat="1" ht="12.75" customHeight="1">
      <c r="A45" s="123" t="s">
        <v>68</v>
      </c>
      <c r="B45" s="123"/>
      <c r="C45" s="123"/>
      <c r="D45" s="123"/>
      <c r="E45" s="12" t="s">
        <v>66</v>
      </c>
      <c r="F45" s="19">
        <f>F44</f>
        <v>655</v>
      </c>
      <c r="G45" s="6">
        <v>4</v>
      </c>
      <c r="H45" s="24">
        <v>0.03</v>
      </c>
      <c r="I45" s="22">
        <f t="shared" si="1"/>
        <v>61.30755952380952</v>
      </c>
      <c r="J45" s="20">
        <f t="shared" si="2"/>
        <v>4818.774178571428</v>
      </c>
      <c r="K45" s="23"/>
    </row>
    <row r="46" spans="1:11" s="21" customFormat="1" ht="12.75" customHeight="1">
      <c r="A46" s="123" t="s">
        <v>69</v>
      </c>
      <c r="B46" s="123"/>
      <c r="C46" s="123"/>
      <c r="D46" s="123"/>
      <c r="E46" s="12" t="s">
        <v>66</v>
      </c>
      <c r="F46" s="19">
        <f>C11+C12</f>
        <v>598</v>
      </c>
      <c r="G46" s="6">
        <v>2</v>
      </c>
      <c r="H46" s="24">
        <v>0.012</v>
      </c>
      <c r="I46" s="22">
        <f t="shared" si="1"/>
        <v>61.30755952380952</v>
      </c>
      <c r="J46" s="20">
        <f t="shared" si="2"/>
        <v>879.8860942857143</v>
      </c>
      <c r="K46" s="23"/>
    </row>
    <row r="47" spans="1:11" s="21" customFormat="1" ht="26.25" customHeight="1">
      <c r="A47" s="123" t="s">
        <v>70</v>
      </c>
      <c r="B47" s="123"/>
      <c r="C47" s="123"/>
      <c r="D47" s="123"/>
      <c r="E47" s="12" t="s">
        <v>66</v>
      </c>
      <c r="F47" s="19">
        <f>C8</f>
        <v>1214.9</v>
      </c>
      <c r="G47" s="6">
        <v>2</v>
      </c>
      <c r="H47" s="24">
        <v>0.024</v>
      </c>
      <c r="I47" s="22">
        <f t="shared" si="1"/>
        <v>61.30755952380952</v>
      </c>
      <c r="J47" s="20">
        <f t="shared" si="2"/>
        <v>3575.1625951428573</v>
      </c>
      <c r="K47" s="23"/>
    </row>
    <row r="48" spans="1:11" s="21" customFormat="1" ht="12.75" customHeight="1">
      <c r="A48" s="133" t="s">
        <v>71</v>
      </c>
      <c r="B48" s="133"/>
      <c r="C48" s="133"/>
      <c r="D48" s="133"/>
      <c r="E48" s="12"/>
      <c r="F48" s="19"/>
      <c r="G48" s="6"/>
      <c r="H48" s="24"/>
      <c r="I48" s="22"/>
      <c r="J48" s="20">
        <f>SUM(J42:J47)</f>
        <v>13652.359723142856</v>
      </c>
      <c r="K48" s="23"/>
    </row>
    <row r="49" spans="1:11" s="21" customFormat="1" ht="12.75" customHeight="1">
      <c r="A49" s="132" t="s">
        <v>72</v>
      </c>
      <c r="B49" s="132"/>
      <c r="C49" s="132"/>
      <c r="D49" s="132"/>
      <c r="E49" s="12"/>
      <c r="F49" s="19"/>
      <c r="G49" s="6"/>
      <c r="H49" s="24"/>
      <c r="I49" s="22"/>
      <c r="J49" s="20"/>
      <c r="K49" s="23"/>
    </row>
    <row r="50" spans="1:11" s="21" customFormat="1" ht="39" customHeight="1">
      <c r="A50" s="123" t="s">
        <v>73</v>
      </c>
      <c r="B50" s="123"/>
      <c r="C50" s="123"/>
      <c r="D50" s="123"/>
      <c r="E50" s="12" t="s">
        <v>74</v>
      </c>
      <c r="F50" s="24">
        <f>C9/1000</f>
        <v>0.7034</v>
      </c>
      <c r="G50" s="6">
        <v>1</v>
      </c>
      <c r="H50" s="24">
        <v>10</v>
      </c>
      <c r="I50" s="22">
        <f>10299.67/21/8</f>
        <v>61.30755952380952</v>
      </c>
      <c r="J50" s="20">
        <f aca="true" t="shared" si="3" ref="J50:J62">F50*H50*I50*G50</f>
        <v>431.2373736904762</v>
      </c>
      <c r="K50" s="23"/>
    </row>
    <row r="51" spans="1:11" s="21" customFormat="1" ht="26.25" customHeight="1">
      <c r="A51" s="123" t="s">
        <v>75</v>
      </c>
      <c r="B51" s="123"/>
      <c r="C51" s="123"/>
      <c r="D51" s="123"/>
      <c r="E51" s="12" t="s">
        <v>178</v>
      </c>
      <c r="F51" s="24">
        <f>(C11+C12)/1000</f>
        <v>0.598</v>
      </c>
      <c r="G51" s="6">
        <v>5</v>
      </c>
      <c r="H51" s="24">
        <v>4</v>
      </c>
      <c r="I51" s="22">
        <f aca="true" t="shared" si="4" ref="I51:I62">10299.67/21/8</f>
        <v>61.30755952380952</v>
      </c>
      <c r="J51" s="20">
        <f t="shared" si="3"/>
        <v>733.2384119047618</v>
      </c>
      <c r="K51" s="23"/>
    </row>
    <row r="52" spans="1:11" s="21" customFormat="1" ht="26.25" customHeight="1">
      <c r="A52" s="123" t="s">
        <v>76</v>
      </c>
      <c r="B52" s="123"/>
      <c r="C52" s="123"/>
      <c r="D52" s="123"/>
      <c r="E52" s="12" t="s">
        <v>77</v>
      </c>
      <c r="F52" s="24">
        <f>F2*F3/100</f>
        <v>0.06</v>
      </c>
      <c r="G52" s="6">
        <v>2</v>
      </c>
      <c r="H52" s="24">
        <v>9</v>
      </c>
      <c r="I52" s="22">
        <f t="shared" si="4"/>
        <v>61.30755952380952</v>
      </c>
      <c r="J52" s="20">
        <f t="shared" si="3"/>
        <v>66.2121642857143</v>
      </c>
      <c r="K52" s="23"/>
    </row>
    <row r="53" spans="1:11" s="21" customFormat="1" ht="26.25" customHeight="1">
      <c r="A53" s="123" t="s">
        <v>78</v>
      </c>
      <c r="B53" s="123"/>
      <c r="C53" s="123"/>
      <c r="D53" s="123"/>
      <c r="E53" s="12" t="s">
        <v>79</v>
      </c>
      <c r="F53" s="19">
        <f>F3</f>
        <v>2</v>
      </c>
      <c r="G53" s="6">
        <v>2</v>
      </c>
      <c r="H53" s="24">
        <v>0.5</v>
      </c>
      <c r="I53" s="22">
        <f t="shared" si="4"/>
        <v>61.30755952380952</v>
      </c>
      <c r="J53" s="20">
        <f>F53*H53*I53*G53</f>
        <v>122.61511904761905</v>
      </c>
      <c r="K53" s="23"/>
    </row>
    <row r="54" spans="1:11" s="21" customFormat="1" ht="39.75" customHeight="1">
      <c r="A54" s="123" t="s">
        <v>80</v>
      </c>
      <c r="B54" s="123"/>
      <c r="C54" s="123"/>
      <c r="D54" s="123"/>
      <c r="E54" s="12" t="s">
        <v>81</v>
      </c>
      <c r="F54" s="24">
        <f>J3/100</f>
        <v>2.46</v>
      </c>
      <c r="G54" s="6">
        <v>1</v>
      </c>
      <c r="H54" s="24">
        <v>1.42</v>
      </c>
      <c r="I54" s="22">
        <f t="shared" si="4"/>
        <v>61.30755952380952</v>
      </c>
      <c r="J54" s="20">
        <f t="shared" si="3"/>
        <v>214.15956692857142</v>
      </c>
      <c r="K54" s="23"/>
    </row>
    <row r="55" spans="1:11" s="21" customFormat="1" ht="26.25" customHeight="1">
      <c r="A55" s="123" t="s">
        <v>82</v>
      </c>
      <c r="B55" s="123"/>
      <c r="C55" s="123"/>
      <c r="D55" s="123"/>
      <c r="E55" s="12" t="s">
        <v>81</v>
      </c>
      <c r="F55" s="48">
        <f>J3/100</f>
        <v>2.46</v>
      </c>
      <c r="G55" s="6">
        <v>1</v>
      </c>
      <c r="H55" s="24">
        <v>1.42</v>
      </c>
      <c r="I55" s="22">
        <f t="shared" si="4"/>
        <v>61.30755952380952</v>
      </c>
      <c r="J55" s="20">
        <f t="shared" si="3"/>
        <v>214.15956692857142</v>
      </c>
      <c r="K55" s="23"/>
    </row>
    <row r="56" spans="1:11" s="21" customFormat="1" ht="26.25" customHeight="1">
      <c r="A56" s="123" t="s">
        <v>83</v>
      </c>
      <c r="B56" s="123"/>
      <c r="C56" s="123"/>
      <c r="D56" s="123"/>
      <c r="E56" s="12" t="s">
        <v>81</v>
      </c>
      <c r="F56" s="48">
        <f>J3/100</f>
        <v>2.46</v>
      </c>
      <c r="G56" s="6">
        <v>2</v>
      </c>
      <c r="H56" s="24">
        <v>3.1</v>
      </c>
      <c r="I56" s="22">
        <f t="shared" si="4"/>
        <v>61.30755952380952</v>
      </c>
      <c r="J56" s="20">
        <f t="shared" si="3"/>
        <v>935.0628978571428</v>
      </c>
      <c r="K56" s="23"/>
    </row>
    <row r="57" spans="1:11" s="21" customFormat="1" ht="26.25" customHeight="1">
      <c r="A57" s="123" t="s">
        <v>134</v>
      </c>
      <c r="B57" s="123"/>
      <c r="C57" s="123"/>
      <c r="D57" s="123"/>
      <c r="E57" s="12" t="s">
        <v>84</v>
      </c>
      <c r="F57" s="48">
        <f>J3/100</f>
        <v>2.46</v>
      </c>
      <c r="G57" s="6">
        <v>2</v>
      </c>
      <c r="H57" s="24">
        <v>3.3</v>
      </c>
      <c r="I57" s="22">
        <f t="shared" si="4"/>
        <v>61.30755952380952</v>
      </c>
      <c r="J57" s="20">
        <f t="shared" si="3"/>
        <v>995.3895364285714</v>
      </c>
      <c r="K57" s="23"/>
    </row>
    <row r="58" spans="1:11" s="21" customFormat="1" ht="26.25" customHeight="1">
      <c r="A58" s="123" t="s">
        <v>85</v>
      </c>
      <c r="B58" s="123"/>
      <c r="C58" s="123"/>
      <c r="D58" s="123"/>
      <c r="E58" s="12" t="s">
        <v>178</v>
      </c>
      <c r="F58" s="48">
        <f>(C8-C9)/1000</f>
        <v>0.5115000000000001</v>
      </c>
      <c r="G58" s="6">
        <v>1</v>
      </c>
      <c r="H58" s="24">
        <v>4</v>
      </c>
      <c r="I58" s="22">
        <f t="shared" si="4"/>
        <v>61.30755952380952</v>
      </c>
      <c r="J58" s="20">
        <f t="shared" si="3"/>
        <v>125.4352667857143</v>
      </c>
      <c r="K58" s="23"/>
    </row>
    <row r="59" spans="1:11" s="21" customFormat="1" ht="41.25" customHeight="1">
      <c r="A59" s="135" t="s">
        <v>86</v>
      </c>
      <c r="B59" s="135"/>
      <c r="C59" s="135"/>
      <c r="D59" s="135"/>
      <c r="E59" s="12" t="s">
        <v>87</v>
      </c>
      <c r="F59" s="47">
        <v>294.5</v>
      </c>
      <c r="G59" s="6">
        <v>1</v>
      </c>
      <c r="H59" s="24">
        <v>0.87</v>
      </c>
      <c r="I59" s="22">
        <f t="shared" si="4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23" t="s">
        <v>88</v>
      </c>
      <c r="B60" s="123"/>
      <c r="C60" s="123"/>
      <c r="D60" s="123"/>
      <c r="E60" s="12" t="s">
        <v>84</v>
      </c>
      <c r="F60" s="24">
        <f>J3/100</f>
        <v>2.46</v>
      </c>
      <c r="G60" s="6">
        <v>1</v>
      </c>
      <c r="H60" s="24">
        <v>3.3</v>
      </c>
      <c r="I60" s="22">
        <f t="shared" si="4"/>
        <v>61.30755952380952</v>
      </c>
      <c r="J60" s="20">
        <f t="shared" si="3"/>
        <v>497.6947682142857</v>
      </c>
      <c r="K60" s="23"/>
    </row>
    <row r="61" spans="1:11" s="21" customFormat="1" ht="26.25" customHeight="1">
      <c r="A61" s="123" t="s">
        <v>89</v>
      </c>
      <c r="B61" s="123"/>
      <c r="C61" s="123"/>
      <c r="D61" s="123"/>
      <c r="E61" s="12" t="s">
        <v>90</v>
      </c>
      <c r="F61" s="19">
        <f>F3</f>
        <v>2</v>
      </c>
      <c r="G61" s="6">
        <v>1</v>
      </c>
      <c r="H61" s="24">
        <v>0.56</v>
      </c>
      <c r="I61" s="22">
        <f t="shared" si="4"/>
        <v>61.30755952380952</v>
      </c>
      <c r="J61" s="20">
        <f t="shared" si="3"/>
        <v>68.66446666666667</v>
      </c>
      <c r="K61" s="23"/>
    </row>
    <row r="62" spans="1:11" s="21" customFormat="1" ht="50.25" customHeight="1">
      <c r="A62" s="123" t="s">
        <v>179</v>
      </c>
      <c r="B62" s="123"/>
      <c r="C62" s="123"/>
      <c r="D62" s="123"/>
      <c r="E62" s="12" t="s">
        <v>74</v>
      </c>
      <c r="F62" s="24">
        <f>C9/1000</f>
        <v>0.7034</v>
      </c>
      <c r="G62" s="6">
        <v>1</v>
      </c>
      <c r="H62" s="24">
        <v>10</v>
      </c>
      <c r="I62" s="22">
        <f t="shared" si="4"/>
        <v>61.30755952380952</v>
      </c>
      <c r="J62" s="20">
        <f t="shared" si="3"/>
        <v>431.2373736904762</v>
      </c>
      <c r="K62" s="23"/>
    </row>
    <row r="63" spans="1:11" s="21" customFormat="1" ht="12.75" customHeight="1">
      <c r="A63" s="123" t="s">
        <v>71</v>
      </c>
      <c r="B63" s="123"/>
      <c r="C63" s="123"/>
      <c r="D63" s="123"/>
      <c r="E63" s="12"/>
      <c r="F63" s="19"/>
      <c r="G63" s="6"/>
      <c r="H63" s="24"/>
      <c r="I63" s="6"/>
      <c r="J63" s="20">
        <f>SUM(J50:J62)</f>
        <v>20543.022875821425</v>
      </c>
      <c r="K63" s="23"/>
    </row>
    <row r="64" spans="1:11" s="21" customFormat="1" ht="12.75" customHeight="1">
      <c r="A64" s="132" t="s">
        <v>91</v>
      </c>
      <c r="B64" s="132"/>
      <c r="C64" s="132"/>
      <c r="D64" s="132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23" t="s">
        <v>135</v>
      </c>
      <c r="B65" s="123"/>
      <c r="C65" s="123"/>
      <c r="D65" s="123"/>
      <c r="E65" s="12" t="s">
        <v>66</v>
      </c>
      <c r="F65" s="24">
        <f>G8/F2*3</f>
        <v>172.7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5" ref="J65:J76">F65*H65*I65*G65</f>
        <v>24893.574431785713</v>
      </c>
      <c r="K65" s="23"/>
    </row>
    <row r="66" spans="1:11" s="21" customFormat="1" ht="39" customHeight="1">
      <c r="A66" s="123" t="s">
        <v>136</v>
      </c>
      <c r="B66" s="123"/>
      <c r="C66" s="123"/>
      <c r="D66" s="123"/>
      <c r="E66" s="12" t="s">
        <v>66</v>
      </c>
      <c r="F66" s="24">
        <f>G8/F2*(F2-3)</f>
        <v>0</v>
      </c>
      <c r="G66" s="6">
        <v>104</v>
      </c>
      <c r="H66" s="24">
        <f>0.71/60</f>
        <v>0.011833333333333333</v>
      </c>
      <c r="I66" s="24">
        <f aca="true" t="shared" si="6" ref="I66:I77">4914.48/21/8</f>
        <v>29.252857142857142</v>
      </c>
      <c r="J66" s="20">
        <f t="shared" si="5"/>
        <v>0</v>
      </c>
      <c r="K66" s="23"/>
    </row>
    <row r="67" spans="1:11" s="21" customFormat="1" ht="26.25" customHeight="1">
      <c r="A67" s="123" t="s">
        <v>137</v>
      </c>
      <c r="B67" s="123"/>
      <c r="C67" s="123"/>
      <c r="D67" s="123"/>
      <c r="E67" s="12" t="s">
        <v>66</v>
      </c>
      <c r="F67" s="24">
        <f>G8/F2*3</f>
        <v>172.7</v>
      </c>
      <c r="G67" s="6">
        <v>24</v>
      </c>
      <c r="H67" s="24">
        <f>1.07/60</f>
        <v>0.017833333333333333</v>
      </c>
      <c r="I67" s="24">
        <f t="shared" si="6"/>
        <v>29.252857142857142</v>
      </c>
      <c r="J67" s="20">
        <f t="shared" si="5"/>
        <v>2162.242487428571</v>
      </c>
      <c r="K67" s="23"/>
    </row>
    <row r="68" spans="1:11" s="21" customFormat="1" ht="26.25" customHeight="1">
      <c r="A68" s="123" t="s">
        <v>138</v>
      </c>
      <c r="B68" s="123"/>
      <c r="C68" s="123"/>
      <c r="D68" s="123"/>
      <c r="E68" s="12" t="s">
        <v>66</v>
      </c>
      <c r="F68" s="24">
        <f>G8/F2*(F2-3)</f>
        <v>0</v>
      </c>
      <c r="G68" s="6">
        <v>24</v>
      </c>
      <c r="H68" s="24">
        <f>0.82/60</f>
        <v>0.013666666666666666</v>
      </c>
      <c r="I68" s="24">
        <f t="shared" si="6"/>
        <v>29.252857142857142</v>
      </c>
      <c r="J68" s="20">
        <f t="shared" si="5"/>
        <v>0</v>
      </c>
      <c r="K68" s="23"/>
    </row>
    <row r="69" spans="1:11" s="21" customFormat="1" ht="12.75" customHeight="1">
      <c r="A69" s="123" t="s">
        <v>92</v>
      </c>
      <c r="B69" s="123"/>
      <c r="C69" s="123"/>
      <c r="D69" s="123"/>
      <c r="E69" s="12" t="s">
        <v>66</v>
      </c>
      <c r="F69" s="19">
        <f>F2*F3*1.5*2</f>
        <v>18</v>
      </c>
      <c r="G69" s="25">
        <v>2</v>
      </c>
      <c r="H69" s="22">
        <f>3.8/60</f>
        <v>0.06333333333333332</v>
      </c>
      <c r="I69" s="24">
        <f t="shared" si="6"/>
        <v>29.252857142857142</v>
      </c>
      <c r="J69" s="20">
        <f t="shared" si="5"/>
        <v>66.69651428571427</v>
      </c>
      <c r="K69" s="23"/>
    </row>
    <row r="70" spans="1:10" s="21" customFormat="1" ht="12.75" customHeight="1">
      <c r="A70" s="134" t="s">
        <v>93</v>
      </c>
      <c r="B70" s="134"/>
      <c r="C70" s="134"/>
      <c r="D70" s="134"/>
      <c r="E70" s="26" t="s">
        <v>66</v>
      </c>
      <c r="F70" s="27">
        <f>G9</f>
        <v>996.4</v>
      </c>
      <c r="G70" s="25">
        <v>2</v>
      </c>
      <c r="H70" s="22">
        <f>0.91/60</f>
        <v>0.015166666666666667</v>
      </c>
      <c r="I70" s="24">
        <f t="shared" si="6"/>
        <v>29.252857142857142</v>
      </c>
      <c r="J70" s="20">
        <f>F70*H70*I70*G70</f>
        <v>884.1422546666666</v>
      </c>
    </row>
    <row r="71" spans="1:11" s="21" customFormat="1" ht="26.25" customHeight="1">
      <c r="A71" s="123" t="s">
        <v>94</v>
      </c>
      <c r="B71" s="123"/>
      <c r="C71" s="123"/>
      <c r="D71" s="123"/>
      <c r="E71" s="12" t="s">
        <v>66</v>
      </c>
      <c r="F71" s="19">
        <f>G10</f>
        <v>1838</v>
      </c>
      <c r="G71" s="6">
        <v>91</v>
      </c>
      <c r="H71" s="24">
        <f>0.14/60</f>
        <v>0.0023333333333333335</v>
      </c>
      <c r="I71" s="24">
        <f t="shared" si="6"/>
        <v>29.252857142857142</v>
      </c>
      <c r="J71" s="20">
        <f t="shared" si="5"/>
        <v>11416.473553333333</v>
      </c>
      <c r="K71" s="23"/>
    </row>
    <row r="72" spans="1:11" s="21" customFormat="1" ht="12.75" customHeight="1">
      <c r="A72" s="123" t="s">
        <v>95</v>
      </c>
      <c r="B72" s="123"/>
      <c r="C72" s="123"/>
      <c r="D72" s="123"/>
      <c r="E72" s="12" t="s">
        <v>66</v>
      </c>
      <c r="F72" s="19">
        <f>G10</f>
        <v>1838</v>
      </c>
      <c r="G72" s="6">
        <v>91</v>
      </c>
      <c r="H72" s="24">
        <f>0.13/60</f>
        <v>0.0021666666666666666</v>
      </c>
      <c r="I72" s="24">
        <f t="shared" si="6"/>
        <v>29.252857142857142</v>
      </c>
      <c r="J72" s="20">
        <f t="shared" si="5"/>
        <v>10601.011156666666</v>
      </c>
      <c r="K72" s="23"/>
    </row>
    <row r="73" spans="1:11" s="21" customFormat="1" ht="26.25" customHeight="1">
      <c r="A73" s="123" t="s">
        <v>124</v>
      </c>
      <c r="B73" s="123"/>
      <c r="C73" s="123"/>
      <c r="D73" s="123"/>
      <c r="E73" s="12" t="s">
        <v>66</v>
      </c>
      <c r="F73" s="19">
        <f>G10</f>
        <v>1838</v>
      </c>
      <c r="G73" s="6">
        <v>365</v>
      </c>
      <c r="H73" s="24">
        <f>0.08/60</f>
        <v>0.0013333333333333333</v>
      </c>
      <c r="I73" s="24">
        <f t="shared" si="6"/>
        <v>29.252857142857142</v>
      </c>
      <c r="J73" s="20">
        <f t="shared" si="5"/>
        <v>26166.485695238098</v>
      </c>
      <c r="K73" s="23"/>
    </row>
    <row r="74" spans="1:11" s="21" customFormat="1" ht="12.75" customHeight="1">
      <c r="A74" s="123" t="s">
        <v>96</v>
      </c>
      <c r="B74" s="123"/>
      <c r="C74" s="123"/>
      <c r="D74" s="123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6"/>
        <v>29.252857142857142</v>
      </c>
      <c r="J74" s="20">
        <f t="shared" si="5"/>
        <v>2598.141261904762</v>
      </c>
      <c r="K74" s="23"/>
    </row>
    <row r="75" spans="1:11" s="21" customFormat="1" ht="12.75" customHeight="1">
      <c r="A75" s="123" t="s">
        <v>97</v>
      </c>
      <c r="B75" s="123"/>
      <c r="C75" s="123"/>
      <c r="D75" s="123"/>
      <c r="E75" s="12" t="s">
        <v>98</v>
      </c>
      <c r="F75" s="19">
        <f>F3</f>
        <v>2</v>
      </c>
      <c r="G75" s="6">
        <v>365</v>
      </c>
      <c r="H75" s="24">
        <f>2.34/60</f>
        <v>0.039</v>
      </c>
      <c r="I75" s="24">
        <f t="shared" si="6"/>
        <v>29.252857142857142</v>
      </c>
      <c r="J75" s="20">
        <f t="shared" si="5"/>
        <v>832.8288428571428</v>
      </c>
      <c r="K75" s="23"/>
    </row>
    <row r="76" spans="1:11" s="21" customFormat="1" ht="12.75" customHeight="1">
      <c r="A76" s="123" t="s">
        <v>99</v>
      </c>
      <c r="B76" s="123"/>
      <c r="C76" s="123"/>
      <c r="D76" s="123"/>
      <c r="E76" s="12" t="s">
        <v>66</v>
      </c>
      <c r="F76" s="19">
        <f>G12</f>
        <v>1372</v>
      </c>
      <c r="G76" s="6">
        <v>182</v>
      </c>
      <c r="H76" s="24">
        <f>0.077/60</f>
        <v>0.0012833333333333334</v>
      </c>
      <c r="I76" s="24">
        <f t="shared" si="6"/>
        <v>29.252857142857142</v>
      </c>
      <c r="J76" s="20">
        <f t="shared" si="5"/>
        <v>9374.179481333334</v>
      </c>
      <c r="K76" s="23"/>
    </row>
    <row r="77" spans="1:11" s="21" customFormat="1" ht="12.75" customHeight="1">
      <c r="A77" s="123" t="s">
        <v>71</v>
      </c>
      <c r="B77" s="123"/>
      <c r="C77" s="123"/>
      <c r="D77" s="123"/>
      <c r="E77" s="12"/>
      <c r="F77" s="19"/>
      <c r="G77" s="6"/>
      <c r="H77" s="24"/>
      <c r="I77" s="24">
        <f t="shared" si="6"/>
        <v>29.252857142857142</v>
      </c>
      <c r="J77" s="20">
        <f>SUM(J65:J76)</f>
        <v>88995.7756795</v>
      </c>
      <c r="K77" s="23"/>
    </row>
    <row r="78" spans="1:11" s="21" customFormat="1" ht="12.75">
      <c r="A78" s="132" t="s">
        <v>100</v>
      </c>
      <c r="B78" s="132"/>
      <c r="C78" s="132"/>
      <c r="D78" s="132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23" t="s">
        <v>101</v>
      </c>
      <c r="B79" s="123"/>
      <c r="C79" s="123"/>
      <c r="D79" s="123"/>
      <c r="E79" s="112"/>
      <c r="F79" s="112"/>
      <c r="G79" s="112"/>
      <c r="H79" s="112"/>
      <c r="I79" s="6"/>
      <c r="J79" s="20">
        <f>300079.59/216035.97*C8</f>
        <v>1687.5277477681148</v>
      </c>
      <c r="K79" s="23"/>
    </row>
    <row r="80" spans="1:11" s="21" customFormat="1" ht="12.75">
      <c r="A80" s="123" t="s">
        <v>102</v>
      </c>
      <c r="B80" s="123"/>
      <c r="C80" s="123"/>
      <c r="D80" s="123"/>
      <c r="E80" s="112"/>
      <c r="F80" s="112"/>
      <c r="G80" s="112"/>
      <c r="H80" s="112"/>
      <c r="I80" s="6"/>
      <c r="J80" s="20">
        <f>99563.03/216035.97*C8</f>
        <v>559.9027104004949</v>
      </c>
      <c r="K80" s="23"/>
    </row>
    <row r="81" spans="1:11" s="21" customFormat="1" ht="12.75">
      <c r="A81" s="136" t="s">
        <v>118</v>
      </c>
      <c r="B81" s="137"/>
      <c r="C81" s="137"/>
      <c r="D81" s="138"/>
      <c r="E81" s="120"/>
      <c r="F81" s="121"/>
      <c r="G81" s="121"/>
      <c r="H81" s="122"/>
      <c r="I81" s="37"/>
      <c r="J81" s="20">
        <f>5366787.25/216035.97*C8</f>
        <v>30180.66773799289</v>
      </c>
      <c r="K81" s="23"/>
    </row>
    <row r="82" spans="1:11" s="21" customFormat="1" ht="12.75">
      <c r="A82" s="123" t="s">
        <v>103</v>
      </c>
      <c r="B82" s="123"/>
      <c r="C82" s="123"/>
      <c r="D82" s="123"/>
      <c r="E82" s="112" t="s">
        <v>104</v>
      </c>
      <c r="F82" s="112"/>
      <c r="G82" s="112"/>
      <c r="H82" s="112"/>
      <c r="I82" s="6"/>
      <c r="J82" s="36">
        <f>1478082.24/216035.97*C8</f>
        <v>8312.144099781162</v>
      </c>
      <c r="K82" s="23"/>
    </row>
    <row r="83" spans="1:11" s="21" customFormat="1" ht="12.75">
      <c r="A83" s="123" t="s">
        <v>105</v>
      </c>
      <c r="B83" s="123"/>
      <c r="C83" s="123"/>
      <c r="D83" s="123"/>
      <c r="E83" s="112" t="s">
        <v>104</v>
      </c>
      <c r="F83" s="112"/>
      <c r="G83" s="112"/>
      <c r="H83" s="112"/>
      <c r="I83" s="6"/>
      <c r="J83" s="20">
        <f>3148900/216035.97*C8</f>
        <v>17708.15577609599</v>
      </c>
      <c r="K83" s="23"/>
    </row>
    <row r="84" spans="1:11" s="21" customFormat="1" ht="12.75">
      <c r="A84" s="123" t="s">
        <v>106</v>
      </c>
      <c r="B84" s="123"/>
      <c r="C84" s="123"/>
      <c r="D84" s="123"/>
      <c r="E84" s="112" t="s">
        <v>107</v>
      </c>
      <c r="F84" s="112"/>
      <c r="G84" s="112"/>
      <c r="H84" s="112"/>
      <c r="I84" s="6"/>
      <c r="J84" s="20">
        <f>(111173.4)/216035.97*C8</f>
        <v>625.194793533688</v>
      </c>
      <c r="K84" s="23"/>
    </row>
    <row r="85" spans="1:11" s="21" customFormat="1" ht="12.75">
      <c r="A85" s="123" t="s">
        <v>180</v>
      </c>
      <c r="B85" s="123"/>
      <c r="C85" s="123"/>
      <c r="D85" s="123"/>
      <c r="E85" s="112" t="s">
        <v>108</v>
      </c>
      <c r="F85" s="112"/>
      <c r="G85" s="112"/>
      <c r="H85" s="112"/>
      <c r="I85" s="6"/>
      <c r="J85" s="20">
        <f>198400.51/216035.97*C8</f>
        <v>1115.7252174209696</v>
      </c>
      <c r="K85" s="23"/>
    </row>
    <row r="86" spans="1:11" s="21" customFormat="1" ht="12.75">
      <c r="A86" s="123" t="s">
        <v>109</v>
      </c>
      <c r="B86" s="123"/>
      <c r="C86" s="123"/>
      <c r="D86" s="123"/>
      <c r="E86" s="112" t="s">
        <v>104</v>
      </c>
      <c r="F86" s="112"/>
      <c r="G86" s="112"/>
      <c r="H86" s="112"/>
      <c r="I86" s="6"/>
      <c r="J86" s="49">
        <f>6255875.28/216035.97*C8</f>
        <v>35180.54367368545</v>
      </c>
      <c r="K86" s="23"/>
    </row>
    <row r="87" spans="1:11" s="21" customFormat="1" ht="12.75">
      <c r="A87" s="123" t="s">
        <v>110</v>
      </c>
      <c r="B87" s="123"/>
      <c r="C87" s="123"/>
      <c r="D87" s="123"/>
      <c r="E87" s="112" t="s">
        <v>104</v>
      </c>
      <c r="F87" s="112"/>
      <c r="G87" s="112"/>
      <c r="H87" s="112"/>
      <c r="I87" s="6"/>
      <c r="J87" s="49">
        <f>574141.03/216035.97*C8</f>
        <v>3228.7398128515365</v>
      </c>
      <c r="K87" s="23"/>
    </row>
    <row r="88" spans="1:11" s="21" customFormat="1" ht="12.75">
      <c r="A88" s="123" t="s">
        <v>111</v>
      </c>
      <c r="B88" s="123"/>
      <c r="C88" s="123"/>
      <c r="D88" s="123"/>
      <c r="E88" s="112"/>
      <c r="F88" s="112"/>
      <c r="G88" s="112"/>
      <c r="H88" s="112"/>
      <c r="I88" s="6"/>
      <c r="J88" s="49">
        <f>7623081.82/216035.97*C8</f>
        <v>42869.16712581706</v>
      </c>
      <c r="K88" s="23"/>
    </row>
    <row r="89" spans="1:11" s="21" customFormat="1" ht="12.75">
      <c r="A89" s="123" t="s">
        <v>112</v>
      </c>
      <c r="B89" s="123"/>
      <c r="C89" s="123"/>
      <c r="D89" s="123"/>
      <c r="E89" s="11"/>
      <c r="F89" s="11"/>
      <c r="G89" s="11"/>
      <c r="H89" s="32"/>
      <c r="I89" s="11"/>
      <c r="J89" s="36">
        <f>5899496.16/216035.97*C8</f>
        <v>33176.40985796949</v>
      </c>
      <c r="K89" s="23"/>
    </row>
    <row r="90" spans="1:11" s="21" customFormat="1" ht="12.75">
      <c r="A90" s="123" t="s">
        <v>71</v>
      </c>
      <c r="B90" s="123"/>
      <c r="C90" s="123"/>
      <c r="D90" s="123"/>
      <c r="E90" s="12"/>
      <c r="F90" s="12"/>
      <c r="G90" s="12"/>
      <c r="H90" s="34"/>
      <c r="I90" s="6"/>
      <c r="J90" s="20">
        <f>SUM(J79:J89)</f>
        <v>174644.17855331686</v>
      </c>
      <c r="K90" s="23"/>
    </row>
    <row r="91" spans="1:11" s="21" customFormat="1" ht="12.75" customHeight="1">
      <c r="A91" s="123" t="s">
        <v>113</v>
      </c>
      <c r="B91" s="123"/>
      <c r="C91" s="123"/>
      <c r="D91" s="123"/>
      <c r="E91" s="12"/>
      <c r="F91" s="19"/>
      <c r="G91" s="12"/>
      <c r="H91" s="34"/>
      <c r="I91" s="6"/>
      <c r="J91" s="20">
        <f>J48+J63+J77+J90</f>
        <v>297835.33683178114</v>
      </c>
      <c r="K91" s="23"/>
    </row>
    <row r="92" spans="1:11" ht="12.75">
      <c r="A92" s="108" t="s">
        <v>114</v>
      </c>
      <c r="B92" s="108"/>
      <c r="C92" s="108"/>
      <c r="D92" s="108"/>
      <c r="E92" s="108"/>
      <c r="F92" s="108"/>
      <c r="G92" s="108"/>
      <c r="H92" s="108"/>
      <c r="I92" s="108"/>
      <c r="J92" s="28">
        <f>J91*0.05</f>
        <v>14891.766841589058</v>
      </c>
      <c r="K92" s="23"/>
    </row>
    <row r="93" spans="1:11" ht="12.75">
      <c r="A93" s="108" t="s">
        <v>115</v>
      </c>
      <c r="B93" s="108"/>
      <c r="C93" s="108"/>
      <c r="D93" s="108"/>
      <c r="E93" s="108"/>
      <c r="F93" s="108"/>
      <c r="G93" s="108"/>
      <c r="H93" s="108"/>
      <c r="I93" s="108"/>
      <c r="J93" s="13">
        <f>J91+J92</f>
        <v>312727.1036733702</v>
      </c>
      <c r="K93" s="23"/>
    </row>
    <row r="94" spans="1:11" ht="12.75">
      <c r="A94" s="108" t="s">
        <v>116</v>
      </c>
      <c r="B94" s="108"/>
      <c r="C94" s="108"/>
      <c r="D94" s="108"/>
      <c r="E94" s="108"/>
      <c r="F94" s="108"/>
      <c r="G94" s="108"/>
      <c r="H94" s="108"/>
      <c r="I94" s="108"/>
      <c r="J94" s="28">
        <f>J93*0.18</f>
        <v>56290.87866120663</v>
      </c>
      <c r="K94" s="23"/>
    </row>
    <row r="95" spans="1:11" ht="12.75">
      <c r="A95" s="108" t="s">
        <v>117</v>
      </c>
      <c r="B95" s="108"/>
      <c r="C95" s="108"/>
      <c r="D95" s="108"/>
      <c r="E95" s="108"/>
      <c r="F95" s="108"/>
      <c r="G95" s="108"/>
      <c r="H95" s="108"/>
      <c r="I95" s="108"/>
      <c r="J95" s="29">
        <f>J94+J93</f>
        <v>369017.98233457684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125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27" customHeight="1">
      <c r="A98" s="139" t="s">
        <v>197</v>
      </c>
      <c r="B98" s="140"/>
      <c r="C98" s="139" t="s">
        <v>183</v>
      </c>
      <c r="D98" s="140"/>
      <c r="E98" s="139" t="s">
        <v>126</v>
      </c>
      <c r="F98" s="140"/>
      <c r="G98" s="139" t="s">
        <v>127</v>
      </c>
      <c r="H98" s="140"/>
      <c r="I98" s="38"/>
      <c r="J98" s="39"/>
      <c r="K98" s="30"/>
    </row>
    <row r="99" spans="1:11" ht="12.75">
      <c r="A99" s="145">
        <f>4884.64+5217.17+7085.58+8956.2</f>
        <v>26143.59</v>
      </c>
      <c r="B99" s="146"/>
      <c r="C99" s="124"/>
      <c r="D99" s="147"/>
      <c r="E99" s="143"/>
      <c r="F99" s="147"/>
      <c r="G99" s="143">
        <f>A99+C99</f>
        <v>26143.59</v>
      </c>
      <c r="H99" s="144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128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139" t="s">
        <v>129</v>
      </c>
      <c r="B102" s="140"/>
      <c r="C102" s="139" t="s">
        <v>130</v>
      </c>
      <c r="D102" s="140"/>
      <c r="E102" s="141" t="s">
        <v>131</v>
      </c>
      <c r="F102" s="141"/>
      <c r="G102" s="142"/>
      <c r="H102" s="142"/>
      <c r="I102" s="38"/>
      <c r="J102" s="39"/>
      <c r="K102" s="30"/>
    </row>
    <row r="103" spans="1:11" ht="27" customHeight="1">
      <c r="A103" s="150"/>
      <c r="B103" s="151"/>
      <c r="C103" s="152"/>
      <c r="D103" s="122"/>
      <c r="E103" s="153"/>
      <c r="F103" s="108"/>
      <c r="G103" s="148"/>
      <c r="H103" s="148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149" t="s">
        <v>123</v>
      </c>
      <c r="B105" s="149"/>
      <c r="C105" s="149"/>
      <c r="D105" s="149"/>
      <c r="E105" s="149"/>
      <c r="F105" s="38"/>
      <c r="G105" s="38"/>
      <c r="H105" s="38"/>
      <c r="I105" s="38"/>
      <c r="J105" s="39"/>
      <c r="K105" s="30"/>
    </row>
    <row r="106" spans="1:11" ht="12.75">
      <c r="A106" s="149"/>
      <c r="B106" s="149"/>
      <c r="C106" s="149"/>
      <c r="D106" s="149"/>
      <c r="E106" s="149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8" ht="12.75">
      <c r="A108" s="154" t="s">
        <v>57</v>
      </c>
      <c r="B108" s="154"/>
      <c r="C108" s="154"/>
      <c r="D108" s="154"/>
      <c r="E108" s="56" t="s">
        <v>119</v>
      </c>
      <c r="F108" s="56" t="s">
        <v>120</v>
      </c>
      <c r="G108" s="56" t="s">
        <v>121</v>
      </c>
      <c r="H108" s="57" t="s">
        <v>122</v>
      </c>
    </row>
    <row r="109" spans="1:8" ht="12.75">
      <c r="A109" s="58" t="s">
        <v>144</v>
      </c>
      <c r="B109" s="59"/>
      <c r="C109" s="59"/>
      <c r="D109" s="59"/>
      <c r="E109" s="60"/>
      <c r="F109" s="60"/>
      <c r="G109" s="60"/>
      <c r="H109" s="61"/>
    </row>
    <row r="110" spans="1:9" s="68" customFormat="1" ht="12.75">
      <c r="A110" s="79" t="s">
        <v>184</v>
      </c>
      <c r="B110" s="64"/>
      <c r="C110" s="64"/>
      <c r="D110" s="64"/>
      <c r="E110" s="65" t="s">
        <v>147</v>
      </c>
      <c r="F110" s="65">
        <v>2</v>
      </c>
      <c r="G110" s="65">
        <v>130.05</v>
      </c>
      <c r="H110" s="70">
        <f>G110*F110</f>
        <v>260.1</v>
      </c>
      <c r="I110" s="67"/>
    </row>
    <row r="111" spans="1:9" s="68" customFormat="1" ht="12.75">
      <c r="A111" s="92" t="s">
        <v>145</v>
      </c>
      <c r="B111" s="93"/>
      <c r="C111" s="93"/>
      <c r="D111" s="93"/>
      <c r="E111" s="93"/>
      <c r="F111" s="93"/>
      <c r="G111" s="94"/>
      <c r="H111" s="69">
        <f>H110</f>
        <v>260.1</v>
      </c>
      <c r="I111" s="67"/>
    </row>
    <row r="112" spans="1:9" s="78" customFormat="1" ht="12.75">
      <c r="A112" s="74" t="s">
        <v>146</v>
      </c>
      <c r="B112" s="75"/>
      <c r="C112" s="75"/>
      <c r="D112" s="75"/>
      <c r="E112" s="76"/>
      <c r="F112" s="76"/>
      <c r="G112" s="76"/>
      <c r="H112" s="61"/>
      <c r="I112" s="77"/>
    </row>
    <row r="113" spans="1:10" s="68" customFormat="1" ht="12.75">
      <c r="A113" s="92" t="s">
        <v>148</v>
      </c>
      <c r="B113" s="93"/>
      <c r="C113" s="93"/>
      <c r="D113" s="93"/>
      <c r="E113" s="93"/>
      <c r="F113" s="93"/>
      <c r="G113" s="94"/>
      <c r="H113" s="69">
        <f>F112*G112</f>
        <v>0</v>
      </c>
      <c r="I113" s="71"/>
      <c r="J113" s="72"/>
    </row>
    <row r="114" spans="1:9" s="78" customFormat="1" ht="12.75">
      <c r="A114" s="74" t="s">
        <v>149</v>
      </c>
      <c r="B114" s="75"/>
      <c r="C114" s="75"/>
      <c r="D114" s="75"/>
      <c r="E114" s="76"/>
      <c r="F114" s="76"/>
      <c r="G114" s="76"/>
      <c r="H114" s="61"/>
      <c r="I114" s="77"/>
    </row>
    <row r="115" spans="1:9" s="68" customFormat="1" ht="12.75">
      <c r="A115" s="80" t="s">
        <v>185</v>
      </c>
      <c r="B115" s="64"/>
      <c r="C115" s="64"/>
      <c r="D115" s="64"/>
      <c r="E115" s="65" t="s">
        <v>171</v>
      </c>
      <c r="F115" s="65">
        <v>47</v>
      </c>
      <c r="G115" s="65">
        <v>33.41</v>
      </c>
      <c r="H115" s="66">
        <f>G115*F115</f>
        <v>1570.2699999999998</v>
      </c>
      <c r="I115" s="67"/>
    </row>
    <row r="116" spans="1:9" s="68" customFormat="1" ht="12.75">
      <c r="A116" s="80" t="s">
        <v>186</v>
      </c>
      <c r="B116" s="64"/>
      <c r="C116" s="64"/>
      <c r="D116" s="64"/>
      <c r="E116" s="65" t="s">
        <v>187</v>
      </c>
      <c r="F116" s="65">
        <v>18</v>
      </c>
      <c r="G116" s="65">
        <v>169.47</v>
      </c>
      <c r="H116" s="66">
        <f>G116*F116</f>
        <v>3050.46</v>
      </c>
      <c r="I116" s="67"/>
    </row>
    <row r="117" spans="1:9" s="68" customFormat="1" ht="12.75">
      <c r="A117" s="92" t="s">
        <v>150</v>
      </c>
      <c r="B117" s="93"/>
      <c r="C117" s="93"/>
      <c r="D117" s="93"/>
      <c r="E117" s="93"/>
      <c r="F117" s="93"/>
      <c r="G117" s="94"/>
      <c r="H117" s="69">
        <f>SUM(H115:H116)</f>
        <v>4620.73</v>
      </c>
      <c r="I117" s="71"/>
    </row>
    <row r="118" spans="1:9" s="78" customFormat="1" ht="12.75">
      <c r="A118" s="74" t="s">
        <v>151</v>
      </c>
      <c r="B118" s="75"/>
      <c r="C118" s="75"/>
      <c r="D118" s="75"/>
      <c r="E118" s="76"/>
      <c r="F118" s="76"/>
      <c r="G118" s="76"/>
      <c r="H118" s="61"/>
      <c r="I118" s="77"/>
    </row>
    <row r="119" spans="1:9" s="68" customFormat="1" ht="12.75">
      <c r="A119" s="92" t="s">
        <v>152</v>
      </c>
      <c r="B119" s="93"/>
      <c r="C119" s="93"/>
      <c r="D119" s="93"/>
      <c r="E119" s="93"/>
      <c r="F119" s="93"/>
      <c r="G119" s="94"/>
      <c r="H119" s="69">
        <v>0</v>
      </c>
      <c r="I119" s="71"/>
    </row>
    <row r="120" spans="1:9" s="78" customFormat="1" ht="12.75">
      <c r="A120" s="74" t="s">
        <v>153</v>
      </c>
      <c r="B120" s="75"/>
      <c r="C120" s="75"/>
      <c r="D120" s="75"/>
      <c r="E120" s="76"/>
      <c r="F120" s="76"/>
      <c r="G120" s="76"/>
      <c r="H120" s="62" t="s">
        <v>154</v>
      </c>
      <c r="I120" s="77"/>
    </row>
    <row r="121" spans="1:9" s="68" customFormat="1" ht="12.75">
      <c r="A121" s="92" t="s">
        <v>155</v>
      </c>
      <c r="B121" s="93"/>
      <c r="C121" s="93"/>
      <c r="D121" s="93"/>
      <c r="E121" s="93"/>
      <c r="F121" s="93"/>
      <c r="G121" s="94"/>
      <c r="H121" s="69">
        <f>F120*G120</f>
        <v>0</v>
      </c>
      <c r="I121" s="67"/>
    </row>
    <row r="122" spans="1:9" s="78" customFormat="1" ht="12.75">
      <c r="A122" s="74" t="s">
        <v>156</v>
      </c>
      <c r="B122" s="75"/>
      <c r="C122" s="75"/>
      <c r="D122" s="75"/>
      <c r="E122" s="76"/>
      <c r="F122" s="76"/>
      <c r="G122" s="76"/>
      <c r="H122" s="62" t="s">
        <v>154</v>
      </c>
      <c r="I122" s="77"/>
    </row>
    <row r="123" spans="1:9" s="68" customFormat="1" ht="12.75">
      <c r="A123" s="80" t="s">
        <v>188</v>
      </c>
      <c r="B123" s="64"/>
      <c r="C123" s="64"/>
      <c r="D123" s="64"/>
      <c r="E123" s="65" t="s">
        <v>147</v>
      </c>
      <c r="F123" s="65">
        <v>2</v>
      </c>
      <c r="G123" s="65">
        <v>38.43</v>
      </c>
      <c r="H123" s="66">
        <f>G123*F123</f>
        <v>76.86</v>
      </c>
      <c r="I123" s="67"/>
    </row>
    <row r="124" spans="1:9" s="68" customFormat="1" ht="12.75">
      <c r="A124" s="92" t="s">
        <v>157</v>
      </c>
      <c r="B124" s="93"/>
      <c r="C124" s="93"/>
      <c r="D124" s="93"/>
      <c r="E124" s="93"/>
      <c r="F124" s="93"/>
      <c r="G124" s="94"/>
      <c r="H124" s="69">
        <f>H123</f>
        <v>76.86</v>
      </c>
      <c r="I124" s="67"/>
    </row>
    <row r="125" spans="1:9" s="78" customFormat="1" ht="12.75">
      <c r="A125" s="74" t="s">
        <v>158</v>
      </c>
      <c r="B125" s="75"/>
      <c r="C125" s="75"/>
      <c r="D125" s="75"/>
      <c r="E125" s="76"/>
      <c r="F125" s="76"/>
      <c r="G125" s="76"/>
      <c r="H125" s="62"/>
      <c r="I125" s="77"/>
    </row>
    <row r="126" spans="1:9" s="68" customFormat="1" ht="12.75">
      <c r="A126" s="92" t="s">
        <v>159</v>
      </c>
      <c r="B126" s="93"/>
      <c r="C126" s="93"/>
      <c r="D126" s="93"/>
      <c r="E126" s="93"/>
      <c r="F126" s="93"/>
      <c r="G126" s="94"/>
      <c r="H126" s="69">
        <f>F125*G125</f>
        <v>0</v>
      </c>
      <c r="I126" s="67"/>
    </row>
    <row r="127" spans="1:9" s="78" customFormat="1" ht="12.75">
      <c r="A127" s="74" t="s">
        <v>160</v>
      </c>
      <c r="B127" s="75"/>
      <c r="C127" s="75"/>
      <c r="D127" s="75"/>
      <c r="E127" s="76"/>
      <c r="F127" s="76"/>
      <c r="G127" s="76"/>
      <c r="H127" s="62"/>
      <c r="I127" s="77"/>
    </row>
    <row r="128" spans="1:9" s="68" customFormat="1" ht="12.75">
      <c r="A128" s="92" t="s">
        <v>161</v>
      </c>
      <c r="B128" s="93"/>
      <c r="C128" s="93"/>
      <c r="D128" s="93"/>
      <c r="E128" s="93"/>
      <c r="F128" s="93"/>
      <c r="G128" s="94"/>
      <c r="H128" s="69">
        <v>0</v>
      </c>
      <c r="I128" s="67"/>
    </row>
    <row r="129" spans="1:9" s="78" customFormat="1" ht="12.75">
      <c r="A129" s="74" t="s">
        <v>162</v>
      </c>
      <c r="B129" s="75"/>
      <c r="C129" s="75"/>
      <c r="D129" s="75"/>
      <c r="E129" s="76"/>
      <c r="F129" s="76"/>
      <c r="G129" s="76"/>
      <c r="H129" s="62"/>
      <c r="I129" s="77"/>
    </row>
    <row r="130" spans="1:9" s="68" customFormat="1" ht="12.75">
      <c r="A130" s="92" t="s">
        <v>163</v>
      </c>
      <c r="B130" s="93"/>
      <c r="C130" s="93"/>
      <c r="D130" s="93"/>
      <c r="E130" s="93"/>
      <c r="F130" s="93"/>
      <c r="G130" s="94"/>
      <c r="H130" s="69">
        <v>0</v>
      </c>
      <c r="I130" s="71"/>
    </row>
    <row r="131" spans="1:9" s="78" customFormat="1" ht="12.75">
      <c r="A131" s="74" t="s">
        <v>164</v>
      </c>
      <c r="B131" s="75"/>
      <c r="C131" s="75"/>
      <c r="D131" s="75"/>
      <c r="E131" s="76"/>
      <c r="F131" s="76"/>
      <c r="G131" s="76"/>
      <c r="H131" s="62"/>
      <c r="I131" s="77"/>
    </row>
    <row r="132" spans="1:9" s="68" customFormat="1" ht="12.75">
      <c r="A132" s="92" t="s">
        <v>165</v>
      </c>
      <c r="B132" s="93"/>
      <c r="C132" s="93"/>
      <c r="D132" s="93"/>
      <c r="E132" s="93"/>
      <c r="F132" s="93"/>
      <c r="G132" s="94"/>
      <c r="H132" s="69">
        <f>SUM(H131)</f>
        <v>0</v>
      </c>
      <c r="I132" s="71"/>
    </row>
    <row r="133" spans="1:9" s="78" customFormat="1" ht="12.75">
      <c r="A133" s="74" t="s">
        <v>166</v>
      </c>
      <c r="B133" s="75"/>
      <c r="C133" s="75"/>
      <c r="D133" s="75"/>
      <c r="E133" s="76"/>
      <c r="F133" s="76"/>
      <c r="G133" s="76"/>
      <c r="H133" s="62"/>
      <c r="I133" s="77"/>
    </row>
    <row r="134" spans="1:9" s="68" customFormat="1" ht="12.75">
      <c r="A134" s="92" t="s">
        <v>167</v>
      </c>
      <c r="B134" s="93"/>
      <c r="C134" s="93"/>
      <c r="D134" s="93"/>
      <c r="E134" s="93"/>
      <c r="F134" s="93"/>
      <c r="G134" s="94"/>
      <c r="H134" s="69">
        <f>H133</f>
        <v>0</v>
      </c>
      <c r="I134" s="67"/>
    </row>
    <row r="135" spans="1:9" s="78" customFormat="1" ht="12.75">
      <c r="A135" s="74" t="s">
        <v>168</v>
      </c>
      <c r="B135" s="75"/>
      <c r="C135" s="75"/>
      <c r="D135" s="75"/>
      <c r="E135" s="76"/>
      <c r="F135" s="76"/>
      <c r="G135" s="76"/>
      <c r="H135" s="61"/>
      <c r="I135" s="77"/>
    </row>
    <row r="136" spans="1:9" s="68" customFormat="1" ht="12.75">
      <c r="A136" s="81" t="s">
        <v>189</v>
      </c>
      <c r="B136" s="64"/>
      <c r="C136" s="64"/>
      <c r="D136" s="64"/>
      <c r="E136" s="81" t="s">
        <v>147</v>
      </c>
      <c r="F136" s="82">
        <v>3</v>
      </c>
      <c r="G136" s="82">
        <v>134.25</v>
      </c>
      <c r="H136" s="66">
        <f aca="true" t="shared" si="7" ref="H136:H143">G136*F136</f>
        <v>402.75</v>
      </c>
      <c r="I136" s="67"/>
    </row>
    <row r="137" spans="1:9" s="68" customFormat="1" ht="12.75">
      <c r="A137" s="81" t="s">
        <v>190</v>
      </c>
      <c r="B137" s="64"/>
      <c r="C137" s="64"/>
      <c r="D137" s="64"/>
      <c r="E137" s="81" t="s">
        <v>147</v>
      </c>
      <c r="F137" s="82">
        <v>2</v>
      </c>
      <c r="G137" s="82">
        <v>76.2</v>
      </c>
      <c r="H137" s="66">
        <f t="shared" si="7"/>
        <v>152.4</v>
      </c>
      <c r="I137" s="67"/>
    </row>
    <row r="138" spans="1:9" s="68" customFormat="1" ht="12.75">
      <c r="A138" s="81" t="s">
        <v>191</v>
      </c>
      <c r="B138" s="64"/>
      <c r="C138" s="64"/>
      <c r="D138" s="64"/>
      <c r="E138" s="81" t="s">
        <v>147</v>
      </c>
      <c r="F138" s="82">
        <v>1</v>
      </c>
      <c r="G138" s="82">
        <v>160.3</v>
      </c>
      <c r="H138" s="66">
        <f t="shared" si="7"/>
        <v>160.3</v>
      </c>
      <c r="I138" s="67"/>
    </row>
    <row r="139" spans="1:9" s="68" customFormat="1" ht="12.75">
      <c r="A139" s="81" t="s">
        <v>192</v>
      </c>
      <c r="B139" s="64"/>
      <c r="C139" s="64"/>
      <c r="D139" s="64"/>
      <c r="E139" s="81" t="s">
        <v>147</v>
      </c>
      <c r="F139" s="82">
        <v>1</v>
      </c>
      <c r="G139" s="82">
        <v>53.06</v>
      </c>
      <c r="H139" s="66">
        <f t="shared" si="7"/>
        <v>53.06</v>
      </c>
      <c r="I139" s="67"/>
    </row>
    <row r="140" spans="1:9" s="68" customFormat="1" ht="12.75">
      <c r="A140" s="81" t="s">
        <v>193</v>
      </c>
      <c r="B140" s="64"/>
      <c r="C140" s="64"/>
      <c r="D140" s="64"/>
      <c r="E140" s="81" t="s">
        <v>147</v>
      </c>
      <c r="F140" s="82">
        <v>8</v>
      </c>
      <c r="G140" s="82">
        <v>73.58</v>
      </c>
      <c r="H140" s="66">
        <f t="shared" si="7"/>
        <v>588.64</v>
      </c>
      <c r="I140" s="67"/>
    </row>
    <row r="141" spans="1:9" s="68" customFormat="1" ht="12.75">
      <c r="A141" s="81" t="s">
        <v>194</v>
      </c>
      <c r="B141" s="64"/>
      <c r="C141" s="64"/>
      <c r="D141" s="64"/>
      <c r="E141" s="81" t="s">
        <v>147</v>
      </c>
      <c r="F141" s="82">
        <v>2</v>
      </c>
      <c r="G141" s="82">
        <v>131.48</v>
      </c>
      <c r="H141" s="66">
        <f t="shared" si="7"/>
        <v>262.96</v>
      </c>
      <c r="I141" s="67"/>
    </row>
    <row r="142" spans="1:9" s="68" customFormat="1" ht="12.75">
      <c r="A142" s="81" t="s">
        <v>195</v>
      </c>
      <c r="B142" s="64"/>
      <c r="C142" s="64"/>
      <c r="D142" s="64"/>
      <c r="E142" s="81" t="s">
        <v>171</v>
      </c>
      <c r="F142" s="82">
        <v>14</v>
      </c>
      <c r="G142" s="82">
        <v>221.61</v>
      </c>
      <c r="H142" s="66">
        <f t="shared" si="7"/>
        <v>3102.54</v>
      </c>
      <c r="I142" s="67"/>
    </row>
    <row r="143" spans="1:9" s="68" customFormat="1" ht="12.75">
      <c r="A143" s="81" t="s">
        <v>194</v>
      </c>
      <c r="B143" s="64"/>
      <c r="C143" s="64"/>
      <c r="D143" s="64"/>
      <c r="E143" s="81" t="s">
        <v>147</v>
      </c>
      <c r="F143" s="82">
        <v>2</v>
      </c>
      <c r="G143" s="82">
        <v>134.27</v>
      </c>
      <c r="H143" s="66">
        <f t="shared" si="7"/>
        <v>268.54</v>
      </c>
      <c r="I143" s="67"/>
    </row>
    <row r="144" spans="1:9" s="68" customFormat="1" ht="12.75">
      <c r="A144" s="92" t="s">
        <v>169</v>
      </c>
      <c r="B144" s="93"/>
      <c r="C144" s="93"/>
      <c r="D144" s="93"/>
      <c r="E144" s="93"/>
      <c r="F144" s="93"/>
      <c r="G144" s="94"/>
      <c r="H144" s="69">
        <f>SUM(H136:H143)</f>
        <v>4991.19</v>
      </c>
      <c r="I144" s="71"/>
    </row>
    <row r="145" spans="1:9" s="88" customFormat="1" ht="12.75">
      <c r="A145" s="83" t="s">
        <v>181</v>
      </c>
      <c r="B145" s="84"/>
      <c r="C145" s="84"/>
      <c r="D145" s="84"/>
      <c r="E145" s="85"/>
      <c r="F145" s="85"/>
      <c r="G145" s="85"/>
      <c r="H145" s="86">
        <v>19520.97</v>
      </c>
      <c r="I145" s="87"/>
    </row>
    <row r="146" spans="1:9" ht="12.75">
      <c r="A146" s="89" t="s">
        <v>170</v>
      </c>
      <c r="B146" s="90"/>
      <c r="C146" s="90"/>
      <c r="D146" s="90"/>
      <c r="E146" s="90"/>
      <c r="F146" s="90"/>
      <c r="G146" s="91"/>
      <c r="H146" s="50">
        <f>H145+H144+H124+H117+H111</f>
        <v>29469.85</v>
      </c>
      <c r="I146" s="31"/>
    </row>
  </sheetData>
  <sheetProtection/>
  <mergeCells count="177">
    <mergeCell ref="C103:D103"/>
    <mergeCell ref="E103:F103"/>
    <mergeCell ref="A121:G121"/>
    <mergeCell ref="A108:D108"/>
    <mergeCell ref="A111:G111"/>
    <mergeCell ref="A113:G113"/>
    <mergeCell ref="A117:G117"/>
    <mergeCell ref="A124:G124"/>
    <mergeCell ref="A126:G126"/>
    <mergeCell ref="A128:G128"/>
    <mergeCell ref="A130:G130"/>
    <mergeCell ref="G103:H103"/>
    <mergeCell ref="A102:B102"/>
    <mergeCell ref="C102:D102"/>
    <mergeCell ref="A119:G119"/>
    <mergeCell ref="A105:E106"/>
    <mergeCell ref="A103:B103"/>
    <mergeCell ref="E102:F102"/>
    <mergeCell ref="G102:H102"/>
    <mergeCell ref="G99:H99"/>
    <mergeCell ref="A99:B99"/>
    <mergeCell ref="C99:D99"/>
    <mergeCell ref="E99:F99"/>
    <mergeCell ref="A87:D87"/>
    <mergeCell ref="E87:H87"/>
    <mergeCell ref="A88:D88"/>
    <mergeCell ref="E88:H88"/>
    <mergeCell ref="A93:I93"/>
    <mergeCell ref="A94:I94"/>
    <mergeCell ref="A95:I95"/>
    <mergeCell ref="A98:B98"/>
    <mergeCell ref="C98:D98"/>
    <mergeCell ref="E98:F98"/>
    <mergeCell ref="G98:H98"/>
    <mergeCell ref="A89:D89"/>
    <mergeCell ref="A90:D90"/>
    <mergeCell ref="A91:D91"/>
    <mergeCell ref="A92:I92"/>
    <mergeCell ref="A83:D83"/>
    <mergeCell ref="E83:H83"/>
    <mergeCell ref="A84:D84"/>
    <mergeCell ref="E84:H84"/>
    <mergeCell ref="A85:D85"/>
    <mergeCell ref="E85:H85"/>
    <mergeCell ref="A86:D86"/>
    <mergeCell ref="E86:H86"/>
    <mergeCell ref="A78:D78"/>
    <mergeCell ref="A79:D79"/>
    <mergeCell ref="E79:H79"/>
    <mergeCell ref="A80:D80"/>
    <mergeCell ref="E80:H80"/>
    <mergeCell ref="A81:D81"/>
    <mergeCell ref="E81:H81"/>
    <mergeCell ref="A82:D82"/>
    <mergeCell ref="E82:H82"/>
    <mergeCell ref="A76:D76"/>
    <mergeCell ref="A77:D77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70:D70"/>
    <mergeCell ref="A71:D71"/>
    <mergeCell ref="A56:D56"/>
    <mergeCell ref="A57:D57"/>
    <mergeCell ref="A58:D58"/>
    <mergeCell ref="A59:D59"/>
    <mergeCell ref="A60:D60"/>
    <mergeCell ref="A61:D61"/>
    <mergeCell ref="A62:D62"/>
    <mergeCell ref="A63:D63"/>
    <mergeCell ref="A48:D48"/>
    <mergeCell ref="A49:D49"/>
    <mergeCell ref="A50:D50"/>
    <mergeCell ref="A51:D51"/>
    <mergeCell ref="A52:D52"/>
    <mergeCell ref="A53:D53"/>
    <mergeCell ref="A54:D54"/>
    <mergeCell ref="A55:D55"/>
    <mergeCell ref="A40:D40"/>
    <mergeCell ref="A41:D41"/>
    <mergeCell ref="A42:D42"/>
    <mergeCell ref="A43:D43"/>
    <mergeCell ref="A44:D44"/>
    <mergeCell ref="A45:D45"/>
    <mergeCell ref="A46:D46"/>
    <mergeCell ref="A47:D47"/>
    <mergeCell ref="A38:D39"/>
    <mergeCell ref="E38:E39"/>
    <mergeCell ref="F38:G38"/>
    <mergeCell ref="H38:H39"/>
    <mergeCell ref="I38:I39"/>
    <mergeCell ref="J38:J39"/>
    <mergeCell ref="A34:B34"/>
    <mergeCell ref="C34:E34"/>
    <mergeCell ref="F34:H34"/>
    <mergeCell ref="A36:C36"/>
    <mergeCell ref="D36:J36"/>
    <mergeCell ref="F37:J37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0:B20"/>
    <mergeCell ref="C20:D20"/>
    <mergeCell ref="F20:G20"/>
    <mergeCell ref="A23:B23"/>
    <mergeCell ref="C23:E23"/>
    <mergeCell ref="F23:H23"/>
    <mergeCell ref="C22:E22"/>
    <mergeCell ref="F22:H22"/>
    <mergeCell ref="D12:F12"/>
    <mergeCell ref="A18:B19"/>
    <mergeCell ref="C18:E18"/>
    <mergeCell ref="F18:H18"/>
    <mergeCell ref="C19:D19"/>
    <mergeCell ref="F19:G19"/>
    <mergeCell ref="D9:F9"/>
    <mergeCell ref="A10:B10"/>
    <mergeCell ref="D10:F10"/>
    <mergeCell ref="D13:F13"/>
    <mergeCell ref="D14:F14"/>
    <mergeCell ref="K14:K15"/>
    <mergeCell ref="I15:J15"/>
    <mergeCell ref="I10:J12"/>
    <mergeCell ref="K10:K12"/>
    <mergeCell ref="D11:F11"/>
    <mergeCell ref="H3:H5"/>
    <mergeCell ref="I4:J5"/>
    <mergeCell ref="K7:K8"/>
    <mergeCell ref="A8:B8"/>
    <mergeCell ref="D8:F8"/>
    <mergeCell ref="A7:B7"/>
    <mergeCell ref="D7:F7"/>
    <mergeCell ref="I7:J8"/>
    <mergeCell ref="A146:G146"/>
    <mergeCell ref="A132:G132"/>
    <mergeCell ref="A134:G134"/>
    <mergeCell ref="A144:G144"/>
    <mergeCell ref="A1:G1"/>
    <mergeCell ref="G3:G5"/>
    <mergeCell ref="A11:B11"/>
    <mergeCell ref="A12:B12"/>
    <mergeCell ref="A13:B13"/>
    <mergeCell ref="A9:B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2013-02-07T09:50:51Z</dcterms:modified>
  <cp:category/>
  <cp:version/>
  <cp:contentType/>
  <cp:contentStatus/>
</cp:coreProperties>
</file>