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12120" windowHeight="10605" activeTab="0"/>
  </bookViews>
  <sheets>
    <sheet name="Чистова 15" sheetId="1" r:id="rId1"/>
  </sheets>
  <definedNames/>
  <calcPr fullCalcOnLoad="1"/>
</workbook>
</file>

<file path=xl/sharedStrings.xml><?xml version="1.0" encoding="utf-8"?>
<sst xmlns="http://schemas.openxmlformats.org/spreadsheetml/2006/main" count="196" uniqueCount="173">
  <si>
    <t>Год постройки</t>
  </si>
  <si>
    <t>Этажность:</t>
  </si>
  <si>
    <t>Квартир: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</si>
  <si>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</si>
  <si>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</si>
  <si>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</si>
  <si>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</si>
  <si>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</si>
  <si>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</si>
  <si>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</si>
  <si>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</si>
  <si>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</si>
  <si>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Мусоропроводов:</t>
  </si>
  <si>
    <t>ГВС</t>
  </si>
  <si>
    <t>Площадь:</t>
  </si>
  <si>
    <t>кв.м.</t>
  </si>
  <si>
    <t>Уборочная площадь: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</si>
  <si>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</si>
  <si>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</si>
  <si>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</si>
  <si>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</si>
  <si>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</si>
  <si>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</si>
  <si>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</si>
  <si>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</si>
  <si>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</si>
  <si>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</si>
  <si>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</si>
  <si>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</si>
  <si>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</si>
  <si>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</si>
  <si>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</si>
  <si>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</si>
  <si>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</si>
  <si>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 xml:space="preserve">Ф100 -лежачка  </t>
  </si>
  <si>
    <t>Тариф:</t>
  </si>
  <si>
    <t>Источники дохода</t>
  </si>
  <si>
    <t>Фактический доход (оплата населением), руб</t>
  </si>
  <si>
    <t>Содержание</t>
  </si>
  <si>
    <t>Кап. Ремонт</t>
  </si>
  <si>
    <t>% оплат</t>
  </si>
  <si>
    <t>Собственники жилых помещений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</si>
  <si>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</si>
  <si>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</si>
  <si>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</si>
  <si>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</si>
  <si>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</si>
  <si>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</si>
  <si>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</si>
  <si>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</si>
  <si>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</si>
  <si>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</si>
  <si>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</si>
  <si>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</si>
  <si>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</si>
  <si>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</si>
  <si>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>Утверждены Приказом Госстроя России от 09.12.99г. №  139</t>
  </si>
  <si>
    <t>Наименование работ и услуг</t>
  </si>
  <si>
    <t>Натуральные показатели</t>
  </si>
  <si>
    <t>Нормы времени на ед. изм. (чел.час)</t>
  </si>
  <si>
    <t>С-ть чел.\час</t>
  </si>
  <si>
    <t>Всего    руб.</t>
  </si>
  <si>
    <t>Объем</t>
  </si>
  <si>
    <t>Кол-во раз за период</t>
  </si>
  <si>
    <t>Содержание строительных конструкций</t>
  </si>
  <si>
    <t>м2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</si>
  <si>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</si>
  <si>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</si>
  <si>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</si>
  <si>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</si>
  <si>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1000м2 ж\пл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</si>
  <si>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</si>
  <si>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</si>
  <si>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</si>
  <si>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</si>
  <si>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</si>
  <si>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100м трубы</t>
  </si>
  <si>
    <t>Запуск системы отопления (слив воды и наполнение водой системы отопления)</t>
  </si>
  <si>
    <t>Санитарное содержание</t>
  </si>
  <si>
    <t>Мытьё окон</t>
  </si>
  <si>
    <t>Мытьё стен</t>
  </si>
  <si>
    <t>Уборка газонов от случайного мусора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</si>
  <si>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</si>
  <si>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</si>
  <si>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</si>
  <si>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</si>
  <si>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</si>
  <si>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</si>
  <si>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Вентканалы</t>
  </si>
  <si>
    <t>1 раз в год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</si>
  <si>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</si>
  <si>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</si>
  <si>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</si>
  <si>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</si>
  <si>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</si>
  <si>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</si>
  <si>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</si>
  <si>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</si>
  <si>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</si>
  <si>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</si>
  <si>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</si>
  <si>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цена</t>
  </si>
  <si>
    <t>стоимость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</si>
  <si>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</si>
  <si>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</si>
  <si>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</si>
  <si>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</si>
  <si>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</si>
  <si>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</si>
  <si>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</si>
  <si>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</si>
  <si>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</si>
  <si>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кирпич</t>
  </si>
  <si>
    <t>0</t>
  </si>
  <si>
    <t>шифер</t>
  </si>
  <si>
    <t>Ф80-2шт</t>
  </si>
  <si>
    <t>вентиль -     шт</t>
  </si>
  <si>
    <t>кран  -      шт</t>
  </si>
  <si>
    <t xml:space="preserve">Влажное подметание лестничных клеток и маршей нижних 3 этажей </t>
  </si>
  <si>
    <t xml:space="preserve">Мытьё лестничных площадок и маршей нижних 3 этажей </t>
  </si>
  <si>
    <t>вентиль -2щт</t>
  </si>
  <si>
    <t>кран - 4шт</t>
  </si>
  <si>
    <t>вентиль-  9   шт</t>
  </si>
  <si>
    <t>кран-  2   шт</t>
  </si>
  <si>
    <t>ЯНВАРЬ</t>
  </si>
  <si>
    <t>кол-во</t>
  </si>
  <si>
    <t>шт</t>
  </si>
  <si>
    <t>ИТОГО за ЯНВАРЬ</t>
  </si>
  <si>
    <t>ФЕВРАЛЬ</t>
  </si>
  <si>
    <t>ИТОГО за ФЕВРАЛЬ</t>
  </si>
  <si>
    <t>МАРТ</t>
  </si>
  <si>
    <t>ИТОГО за МАРТ</t>
  </si>
  <si>
    <t>АПРЕЛЬ</t>
  </si>
  <si>
    <t>ИТОГО за АПРЕЛЬ</t>
  </si>
  <si>
    <t>МАЙ</t>
  </si>
  <si>
    <t>-</t>
  </si>
  <si>
    <t>ИТОГО за МАЙ</t>
  </si>
  <si>
    <t>ИЮНЬ</t>
  </si>
  <si>
    <t>ИТОГО за ИЮНЬ</t>
  </si>
  <si>
    <t>ИЮЛЬ</t>
  </si>
  <si>
    <t>кг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</si>
  <si>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</si>
  <si>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</si>
  <si>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</si>
  <si>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</si>
  <si>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</si>
  <si>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</si>
  <si>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ИТОГО за ОКТЯБРЬ</t>
  </si>
  <si>
    <t>НОЯБРЬ</t>
  </si>
  <si>
    <t>ИТОГО за НОЯБРЬ</t>
  </si>
  <si>
    <t>м</t>
  </si>
  <si>
    <t>ДЕКАБРЬ</t>
  </si>
  <si>
    <t>ИТОГО за ДЕКАБРЬ</t>
  </si>
  <si>
    <t>манометр RR 10(цо)</t>
  </si>
  <si>
    <t>гофра Д=40*40*50 мм хвс</t>
  </si>
  <si>
    <t>краска акриал красно-коричневый</t>
  </si>
  <si>
    <t>протяженность</t>
  </si>
  <si>
    <t>Запланированный доход руб. (начисление по тарифу за ТО)100%</t>
  </si>
  <si>
    <t>начислено</t>
  </si>
  <si>
    <t xml:space="preserve">Согласно нормативам труда по содержанию и ремонту жилищного фонда. </t>
  </si>
  <si>
    <t>Ед. Изм.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</si>
  <si>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</si>
  <si>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Дератизация и дезинсекция</t>
  </si>
  <si>
    <t>ед. изм</t>
  </si>
  <si>
    <t>РАЗНОЕ (лампочки, остекление и др.)</t>
  </si>
  <si>
    <t>ВСЕГо за ГОД</t>
  </si>
  <si>
    <t>отчет по затратам на содержание и ремонт общего имущества многоквартирного дома по адресу: Чистова, д. 15 за 2012год</t>
  </si>
  <si>
    <t>ДОХОДЫ ДОМА ЗА ПЕРИОД  __2012____________</t>
  </si>
  <si>
    <t>Начислено за 2006-2011 годы</t>
  </si>
  <si>
    <t>Начислено за 2012 год</t>
  </si>
  <si>
    <t>цемент М500</t>
  </si>
  <si>
    <t>отвод Ду 50  мм(цо)</t>
  </si>
  <si>
    <t>труба ВГП ДУ 50*3,5 неоц(цо)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</si>
</sst>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2" fontId="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2" fontId="4" fillId="33" borderId="13" xfId="0" applyNumberFormat="1" applyFont="1" applyFill="1" applyBorder="1" applyAlignment="1">
      <alignment/>
    </xf>
    <xf numFmtId="2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2" fontId="4" fillId="33" borderId="13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5" fillId="34" borderId="0" xfId="0" applyFont="1" applyFill="1" applyAlignment="1">
      <alignment horizontal="left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8" fillId="0" borderId="19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2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9" fillId="0" borderId="19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2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7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175" fontId="0" fillId="0" borderId="10" xfId="0" applyNumberFormat="1" applyBorder="1" applyAlignment="1">
      <alignment horizontal="center"/>
    </xf>
    <xf numFmtId="0" fontId="28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/>
    </xf>
    <xf numFmtId="2" fontId="28" fillId="35" borderId="10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4" fillId="35" borderId="11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2" fontId="4" fillId="35" borderId="10" xfId="0" applyNumberFormat="1" applyFont="1" applyFill="1" applyBorder="1" applyAlignment="1">
      <alignment/>
    </xf>
    <xf numFmtId="2" fontId="0" fillId="35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89">
      <selection activeCell="H122" sqref="H122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1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88" t="s">
        <v>166</v>
      </c>
      <c r="B1" s="88"/>
      <c r="C1" s="88"/>
      <c r="D1" s="88"/>
      <c r="E1" s="88"/>
      <c r="F1" s="88"/>
      <c r="G1" s="88"/>
      <c r="I1"/>
    </row>
    <row r="2" spans="1:12" ht="12.75">
      <c r="A2" t="s">
        <v>0</v>
      </c>
      <c r="C2">
        <v>1954</v>
      </c>
      <c r="D2" t="s">
        <v>1</v>
      </c>
      <c r="F2">
        <v>3</v>
      </c>
      <c r="G2" t="s">
        <v>2</v>
      </c>
      <c r="H2" s="32">
        <v>18</v>
      </c>
      <c r="I2" s="2"/>
      <c r="J2" s="3" t="s">
        <v>156</v>
      </c>
      <c r="K2" s="2" t="s">
        <v>3</v>
      </c>
      <c r="L2" s="3" t="s">
        <v>4</v>
      </c>
    </row>
    <row r="3" spans="1:12" ht="12.75">
      <c r="A3" t="s">
        <v>5</v>
      </c>
      <c r="C3">
        <v>40</v>
      </c>
      <c r="D3" t="s">
        <v>6</v>
      </c>
      <c r="F3">
        <v>2</v>
      </c>
      <c r="G3" s="89" t="s">
        <v>7</v>
      </c>
      <c r="H3" s="92">
        <v>0</v>
      </c>
      <c r="I3" s="2" t="s">
        <v>8</v>
      </c>
      <c r="J3" s="2">
        <v>150</v>
      </c>
      <c r="K3" s="52" t="s">
        <v>115</v>
      </c>
      <c r="L3" s="54" t="s">
        <v>120</v>
      </c>
    </row>
    <row r="4" spans="1:12" ht="12.75">
      <c r="A4" t="s">
        <v>9</v>
      </c>
      <c r="C4" t="s">
        <v>112</v>
      </c>
      <c r="D4" t="s">
        <v>10</v>
      </c>
      <c r="F4" s="47" t="s">
        <v>113</v>
      </c>
      <c r="G4" s="90"/>
      <c r="H4" s="93"/>
      <c r="I4" s="81"/>
      <c r="J4" s="82"/>
      <c r="K4" s="52"/>
      <c r="L4" s="52" t="s">
        <v>121</v>
      </c>
    </row>
    <row r="5" spans="1:12" ht="12.75">
      <c r="A5" t="s">
        <v>11</v>
      </c>
      <c r="C5" t="s">
        <v>114</v>
      </c>
      <c r="D5" t="s">
        <v>12</v>
      </c>
      <c r="F5">
        <v>0</v>
      </c>
      <c r="G5" s="91"/>
      <c r="H5" s="94"/>
      <c r="I5" s="83"/>
      <c r="J5" s="84"/>
      <c r="K5" s="52"/>
      <c r="L5" s="53"/>
    </row>
    <row r="6" spans="9:12" ht="12.75">
      <c r="I6" s="2" t="s">
        <v>13</v>
      </c>
      <c r="J6" s="2">
        <v>0</v>
      </c>
      <c r="K6" s="53"/>
      <c r="L6" s="54" t="s">
        <v>116</v>
      </c>
    </row>
    <row r="7" spans="1:12" ht="12.75">
      <c r="A7" s="78" t="s">
        <v>14</v>
      </c>
      <c r="B7" s="79"/>
      <c r="C7" s="1" t="s">
        <v>15</v>
      </c>
      <c r="D7" s="78" t="s">
        <v>16</v>
      </c>
      <c r="E7" s="80"/>
      <c r="F7" s="79"/>
      <c r="G7" s="1" t="s">
        <v>15</v>
      </c>
      <c r="I7" s="81"/>
      <c r="J7" s="82"/>
      <c r="K7" s="95"/>
      <c r="L7" s="52" t="s">
        <v>117</v>
      </c>
    </row>
    <row r="8" spans="1:12" ht="12.75">
      <c r="A8" s="97" t="s">
        <v>17</v>
      </c>
      <c r="B8" s="97"/>
      <c r="C8">
        <v>894.8</v>
      </c>
      <c r="D8" s="78" t="s">
        <v>18</v>
      </c>
      <c r="E8" s="80"/>
      <c r="F8" s="79"/>
      <c r="G8" s="48">
        <v>118.1</v>
      </c>
      <c r="I8" s="83"/>
      <c r="J8" s="84"/>
      <c r="K8" s="98"/>
      <c r="L8" s="52"/>
    </row>
    <row r="9" spans="1:12" ht="12.75">
      <c r="A9" s="97" t="s">
        <v>19</v>
      </c>
      <c r="B9" s="97"/>
      <c r="C9">
        <v>557.7</v>
      </c>
      <c r="D9" s="78" t="s">
        <v>20</v>
      </c>
      <c r="E9" s="80"/>
      <c r="F9" s="79"/>
      <c r="G9" s="5">
        <v>910</v>
      </c>
      <c r="I9" s="2" t="s">
        <v>21</v>
      </c>
      <c r="J9" s="2">
        <v>90</v>
      </c>
      <c r="K9" s="52"/>
      <c r="L9" s="52" t="s">
        <v>122</v>
      </c>
    </row>
    <row r="10" spans="1:12" ht="12.75">
      <c r="A10" s="97" t="s">
        <v>22</v>
      </c>
      <c r="B10" s="97"/>
      <c r="C10" s="48">
        <v>121</v>
      </c>
      <c r="D10" s="78" t="s">
        <v>23</v>
      </c>
      <c r="E10" s="80"/>
      <c r="F10" s="79"/>
      <c r="G10">
        <v>754</v>
      </c>
      <c r="I10" s="85"/>
      <c r="J10" s="85"/>
      <c r="K10" s="95"/>
      <c r="L10" s="52" t="s">
        <v>123</v>
      </c>
    </row>
    <row r="11" spans="1:12" ht="12.75" customHeight="1">
      <c r="A11" s="97" t="s">
        <v>24</v>
      </c>
      <c r="B11" s="97"/>
      <c r="C11">
        <v>419</v>
      </c>
      <c r="D11" s="78" t="s">
        <v>25</v>
      </c>
      <c r="E11" s="80"/>
      <c r="F11" s="79"/>
      <c r="G11">
        <v>0</v>
      </c>
      <c r="I11" s="85"/>
      <c r="J11" s="85"/>
      <c r="K11" s="96"/>
      <c r="L11" s="52"/>
    </row>
    <row r="12" spans="1:12" ht="12.75">
      <c r="A12" s="97" t="s">
        <v>26</v>
      </c>
      <c r="B12" s="97"/>
      <c r="C12" s="6">
        <v>0</v>
      </c>
      <c r="D12" s="78" t="s">
        <v>27</v>
      </c>
      <c r="E12" s="80"/>
      <c r="F12" s="79"/>
      <c r="G12">
        <v>838</v>
      </c>
      <c r="I12" s="85"/>
      <c r="J12" s="85"/>
      <c r="K12" s="96"/>
      <c r="L12" s="52"/>
    </row>
    <row r="13" spans="1:12" ht="12.75">
      <c r="A13" s="86" t="s">
        <v>28</v>
      </c>
      <c r="B13" s="86"/>
      <c r="C13" s="6">
        <v>545</v>
      </c>
      <c r="D13" s="78" t="s">
        <v>29</v>
      </c>
      <c r="E13" s="80"/>
      <c r="F13" s="79"/>
      <c r="G13">
        <v>1215</v>
      </c>
      <c r="I13" s="4"/>
      <c r="J13" s="2" t="s">
        <v>156</v>
      </c>
      <c r="K13" s="55" t="s">
        <v>30</v>
      </c>
      <c r="L13" s="55" t="s">
        <v>31</v>
      </c>
    </row>
    <row r="14" spans="4:12" ht="12.75">
      <c r="D14" s="78" t="s">
        <v>32</v>
      </c>
      <c r="E14" s="80"/>
      <c r="F14" s="79"/>
      <c r="G14" s="8">
        <v>0</v>
      </c>
      <c r="I14" s="2" t="s">
        <v>33</v>
      </c>
      <c r="J14" s="9">
        <v>70</v>
      </c>
      <c r="K14" s="101" t="s">
        <v>34</v>
      </c>
      <c r="L14" s="3"/>
    </row>
    <row r="15" spans="6:12" ht="12.75">
      <c r="F15" s="10" t="s">
        <v>35</v>
      </c>
      <c r="G15" s="73">
        <v>19.5</v>
      </c>
      <c r="I15" s="103"/>
      <c r="J15" s="104"/>
      <c r="K15" s="102"/>
      <c r="L15" s="3"/>
    </row>
    <row r="16" ht="12.75">
      <c r="B16" t="s">
        <v>167</v>
      </c>
    </row>
    <row r="18" spans="1:9" ht="39.75" customHeight="1">
      <c r="A18" s="105" t="s">
        <v>36</v>
      </c>
      <c r="B18" s="105"/>
      <c r="C18" s="86" t="s">
        <v>157</v>
      </c>
      <c r="D18" s="86"/>
      <c r="E18" s="86"/>
      <c r="F18" s="106" t="s">
        <v>37</v>
      </c>
      <c r="G18" s="107"/>
      <c r="H18" s="108"/>
      <c r="I18" s="11"/>
    </row>
    <row r="19" spans="1:8" ht="31.5" customHeight="1">
      <c r="A19" s="105"/>
      <c r="B19" s="105"/>
      <c r="C19" s="106" t="s">
        <v>38</v>
      </c>
      <c r="D19" s="108"/>
      <c r="E19" s="12" t="s">
        <v>39</v>
      </c>
      <c r="F19" s="106" t="s">
        <v>38</v>
      </c>
      <c r="G19" s="108"/>
      <c r="H19" s="33" t="s">
        <v>40</v>
      </c>
    </row>
    <row r="20" spans="1:8" ht="25.5" customHeight="1">
      <c r="A20" s="109" t="s">
        <v>41</v>
      </c>
      <c r="B20" s="109"/>
      <c r="C20" s="99">
        <f>C8*12*G15</f>
        <v>209383.19999999998</v>
      </c>
      <c r="D20" s="100"/>
      <c r="E20" s="14">
        <f>C9*1.3*12</f>
        <v>8700.12</v>
      </c>
      <c r="F20" s="99">
        <f>SUM(F23:H34)</f>
        <v>195393.27</v>
      </c>
      <c r="G20" s="100"/>
      <c r="H20" s="57">
        <f>(F23+F24+F25+F26+F27+F28+F29+F30+F31)*100/(C25+C23+C24+C26+C27+C28+C29+C30+C31)</f>
        <v>81.92995839082667</v>
      </c>
    </row>
    <row r="21" spans="1:8" ht="12.75">
      <c r="A21" s="15"/>
      <c r="B21" s="15"/>
      <c r="C21" s="16"/>
      <c r="D21" s="16"/>
      <c r="E21" s="16"/>
      <c r="F21" s="16"/>
      <c r="G21" s="16"/>
      <c r="H21" s="34"/>
    </row>
    <row r="22" spans="1:9" ht="12.75">
      <c r="A22" s="13"/>
      <c r="B22" s="17"/>
      <c r="C22" s="86" t="s">
        <v>158</v>
      </c>
      <c r="D22" s="86"/>
      <c r="E22" s="86"/>
      <c r="F22" s="87" t="s">
        <v>42</v>
      </c>
      <c r="G22" s="87"/>
      <c r="H22" s="87"/>
      <c r="I22" s="14" t="s">
        <v>40</v>
      </c>
    </row>
    <row r="23" spans="1:9" ht="12.75">
      <c r="A23" s="86" t="s">
        <v>43</v>
      </c>
      <c r="B23" s="86"/>
      <c r="C23" s="87">
        <f>(C20+E20)/12</f>
        <v>18173.609999999997</v>
      </c>
      <c r="D23" s="87"/>
      <c r="E23" s="87"/>
      <c r="F23" s="87">
        <v>11589.33</v>
      </c>
      <c r="G23" s="87"/>
      <c r="H23" s="87"/>
      <c r="I23" s="36">
        <f>F23*100%/C23</f>
        <v>0.6377010401345689</v>
      </c>
    </row>
    <row r="24" spans="1:9" ht="12.75">
      <c r="A24" s="86" t="s">
        <v>44</v>
      </c>
      <c r="B24" s="86"/>
      <c r="C24" s="87">
        <f>(C20+E20)/12</f>
        <v>18173.609999999997</v>
      </c>
      <c r="D24" s="87"/>
      <c r="E24" s="87"/>
      <c r="F24" s="87">
        <v>11553.93</v>
      </c>
      <c r="G24" s="87"/>
      <c r="H24" s="87"/>
      <c r="I24" s="36">
        <f aca="true" t="shared" si="0" ref="I24:I34">F24*100%/C24</f>
        <v>0.6357531607644272</v>
      </c>
    </row>
    <row r="25" spans="1:9" ht="12.75">
      <c r="A25" s="86" t="s">
        <v>45</v>
      </c>
      <c r="B25" s="86"/>
      <c r="C25" s="87">
        <f>(C20+E20)/12</f>
        <v>18173.609999999997</v>
      </c>
      <c r="D25" s="87"/>
      <c r="E25" s="87"/>
      <c r="F25" s="87">
        <v>12728.99</v>
      </c>
      <c r="G25" s="87"/>
      <c r="H25" s="87"/>
      <c r="I25" s="36">
        <f t="shared" si="0"/>
        <v>0.7004106503881178</v>
      </c>
    </row>
    <row r="26" spans="1:9" ht="12.75">
      <c r="A26" s="86" t="s">
        <v>46</v>
      </c>
      <c r="B26" s="86"/>
      <c r="C26" s="87">
        <f>(C20+E20)/12</f>
        <v>18173.609999999997</v>
      </c>
      <c r="D26" s="87"/>
      <c r="E26" s="87"/>
      <c r="F26" s="87">
        <v>14054.1</v>
      </c>
      <c r="G26" s="87"/>
      <c r="H26" s="87"/>
      <c r="I26" s="36">
        <f t="shared" si="0"/>
        <v>0.7733246173985248</v>
      </c>
    </row>
    <row r="27" spans="1:9" ht="12.75">
      <c r="A27" s="86" t="s">
        <v>47</v>
      </c>
      <c r="B27" s="86"/>
      <c r="C27" s="87">
        <f>(C20+E20)/12</f>
        <v>18173.609999999997</v>
      </c>
      <c r="D27" s="87"/>
      <c r="E27" s="87"/>
      <c r="F27" s="87">
        <v>22434.1</v>
      </c>
      <c r="G27" s="87"/>
      <c r="H27" s="87"/>
      <c r="I27" s="36">
        <f t="shared" si="0"/>
        <v>1.2344327846806442</v>
      </c>
    </row>
    <row r="28" spans="1:9" ht="12.75">
      <c r="A28" s="86" t="s">
        <v>48</v>
      </c>
      <c r="B28" s="86"/>
      <c r="C28" s="87">
        <f>(C20+E20)/12</f>
        <v>18173.609999999997</v>
      </c>
      <c r="D28" s="87"/>
      <c r="E28" s="87"/>
      <c r="F28" s="87">
        <v>13817.76</v>
      </c>
      <c r="G28" s="87"/>
      <c r="H28" s="87"/>
      <c r="I28" s="36">
        <f t="shared" si="0"/>
        <v>0.7603200464849857</v>
      </c>
    </row>
    <row r="29" spans="1:9" ht="12.75">
      <c r="A29" s="86" t="s">
        <v>49</v>
      </c>
      <c r="B29" s="86"/>
      <c r="C29" s="87">
        <f>(C20+E20)/12</f>
        <v>18173.609999999997</v>
      </c>
      <c r="D29" s="87"/>
      <c r="E29" s="87"/>
      <c r="F29" s="87">
        <v>19388.73</v>
      </c>
      <c r="G29" s="87"/>
      <c r="H29" s="87"/>
      <c r="I29" s="36">
        <f t="shared" si="0"/>
        <v>1.0668617847527269</v>
      </c>
    </row>
    <row r="30" spans="1:9" ht="12.75">
      <c r="A30" s="86" t="s">
        <v>50</v>
      </c>
      <c r="B30" s="86"/>
      <c r="C30" s="87">
        <f>(C20+E20)/12</f>
        <v>18173.609999999997</v>
      </c>
      <c r="D30" s="87"/>
      <c r="E30" s="87"/>
      <c r="F30" s="87">
        <v>14645.79</v>
      </c>
      <c r="G30" s="87"/>
      <c r="H30" s="87"/>
      <c r="I30" s="36">
        <f t="shared" si="0"/>
        <v>0.8058822655487822</v>
      </c>
    </row>
    <row r="31" spans="1:9" ht="12.75">
      <c r="A31" s="86" t="s">
        <v>51</v>
      </c>
      <c r="B31" s="86"/>
      <c r="C31" s="87">
        <f>(C20+E20)/12</f>
        <v>18173.609999999997</v>
      </c>
      <c r="D31" s="87"/>
      <c r="E31" s="87"/>
      <c r="F31" s="87">
        <v>13793.95</v>
      </c>
      <c r="G31" s="87"/>
      <c r="H31" s="87"/>
      <c r="I31" s="36">
        <f t="shared" si="0"/>
        <v>0.7590099050216221</v>
      </c>
    </row>
    <row r="32" spans="1:9" ht="12.75">
      <c r="A32" s="86" t="s">
        <v>52</v>
      </c>
      <c r="B32" s="86"/>
      <c r="C32" s="87">
        <f>(C20+E20)/12</f>
        <v>18173.609999999997</v>
      </c>
      <c r="D32" s="87"/>
      <c r="E32" s="87"/>
      <c r="F32" s="87">
        <v>25244.29</v>
      </c>
      <c r="G32" s="87"/>
      <c r="H32" s="87"/>
      <c r="I32" s="36">
        <f t="shared" si="0"/>
        <v>1.3890630425105417</v>
      </c>
    </row>
    <row r="33" spans="1:9" ht="12.75">
      <c r="A33" s="86" t="s">
        <v>53</v>
      </c>
      <c r="B33" s="86"/>
      <c r="C33" s="87">
        <f>(C20+E20)/12</f>
        <v>18173.609999999997</v>
      </c>
      <c r="D33" s="87"/>
      <c r="E33" s="87"/>
      <c r="F33" s="87">
        <v>15852.89</v>
      </c>
      <c r="G33" s="87"/>
      <c r="H33" s="87"/>
      <c r="I33" s="36">
        <f t="shared" si="0"/>
        <v>0.8723027510769739</v>
      </c>
    </row>
    <row r="34" spans="1:9" ht="12.75">
      <c r="A34" s="86" t="s">
        <v>54</v>
      </c>
      <c r="B34" s="86"/>
      <c r="C34" s="87">
        <f>(C20+E20)/12</f>
        <v>18173.609999999997</v>
      </c>
      <c r="D34" s="87"/>
      <c r="E34" s="87"/>
      <c r="F34" s="87">
        <v>20289.41</v>
      </c>
      <c r="G34" s="87"/>
      <c r="H34" s="87"/>
      <c r="I34" s="36">
        <f t="shared" si="0"/>
        <v>1.1164215585125907</v>
      </c>
    </row>
    <row r="35" spans="1:8" ht="12.75">
      <c r="A35" s="18"/>
      <c r="B35" s="18"/>
      <c r="C35" s="16"/>
      <c r="D35" s="16"/>
      <c r="E35" s="16"/>
      <c r="F35" s="16"/>
      <c r="G35" s="16"/>
      <c r="H35" s="34"/>
    </row>
    <row r="36" spans="1:10" ht="12.75">
      <c r="A36" s="111" t="s">
        <v>55</v>
      </c>
      <c r="B36" s="111"/>
      <c r="C36" s="111"/>
      <c r="D36" s="112" t="s">
        <v>159</v>
      </c>
      <c r="E36" s="112"/>
      <c r="F36" s="112"/>
      <c r="G36" s="112"/>
      <c r="H36" s="112"/>
      <c r="I36" s="112"/>
      <c r="J36" s="112"/>
    </row>
    <row r="37" spans="6:10" ht="12.75">
      <c r="F37" s="113" t="s">
        <v>56</v>
      </c>
      <c r="G37" s="113"/>
      <c r="H37" s="113"/>
      <c r="I37" s="113"/>
      <c r="J37" s="113"/>
    </row>
    <row r="38" spans="1:11" ht="36" customHeight="1">
      <c r="A38" s="114" t="s">
        <v>57</v>
      </c>
      <c r="B38" s="114"/>
      <c r="C38" s="114"/>
      <c r="D38" s="114"/>
      <c r="E38" s="114" t="s">
        <v>160</v>
      </c>
      <c r="F38" s="86" t="s">
        <v>58</v>
      </c>
      <c r="G38" s="86"/>
      <c r="H38" s="115" t="s">
        <v>59</v>
      </c>
      <c r="I38" s="86" t="s">
        <v>60</v>
      </c>
      <c r="J38" s="86" t="s">
        <v>61</v>
      </c>
      <c r="K38" s="19"/>
    </row>
    <row r="39" spans="1:11" ht="51" customHeight="1">
      <c r="A39" s="114"/>
      <c r="B39" s="114"/>
      <c r="C39" s="114"/>
      <c r="D39" s="114"/>
      <c r="E39" s="114"/>
      <c r="F39" s="17" t="s">
        <v>62</v>
      </c>
      <c r="G39" s="12" t="s">
        <v>63</v>
      </c>
      <c r="H39" s="115"/>
      <c r="I39" s="86"/>
      <c r="J39" s="86"/>
      <c r="K39" s="19"/>
    </row>
    <row r="40" spans="1:10" s="22" customFormat="1" ht="12.75">
      <c r="A40" s="110" t="s">
        <v>38</v>
      </c>
      <c r="B40" s="110"/>
      <c r="C40" s="110"/>
      <c r="D40" s="110"/>
      <c r="E40" s="13"/>
      <c r="F40" s="20"/>
      <c r="G40" s="13"/>
      <c r="H40" s="35"/>
      <c r="I40" s="7"/>
      <c r="J40" s="21"/>
    </row>
    <row r="41" spans="1:10" s="22" customFormat="1" ht="12.75">
      <c r="A41" s="110" t="s">
        <v>64</v>
      </c>
      <c r="B41" s="110"/>
      <c r="C41" s="110"/>
      <c r="D41" s="110"/>
      <c r="E41" s="13"/>
      <c r="F41" s="20"/>
      <c r="G41" s="13"/>
      <c r="H41" s="25"/>
      <c r="I41" s="7"/>
      <c r="J41" s="21"/>
    </row>
    <row r="42" spans="1:11" s="22" customFormat="1" ht="12.75" customHeight="1">
      <c r="A42" s="109" t="s">
        <v>66</v>
      </c>
      <c r="B42" s="109"/>
      <c r="C42" s="109"/>
      <c r="D42" s="109"/>
      <c r="E42" s="13" t="s">
        <v>65</v>
      </c>
      <c r="F42" s="20">
        <f>C11+C12</f>
        <v>419</v>
      </c>
      <c r="G42" s="7">
        <v>2</v>
      </c>
      <c r="H42" s="25">
        <v>0.012</v>
      </c>
      <c r="I42" s="23">
        <f>10299.67/21/8</f>
        <v>61.30755952380952</v>
      </c>
      <c r="J42" s="21">
        <f>F42*H42*I42*G42</f>
        <v>616.5088185714286</v>
      </c>
      <c r="K42" s="24"/>
    </row>
    <row r="43" spans="1:11" s="22" customFormat="1" ht="26.25" customHeight="1">
      <c r="A43" s="109" t="s">
        <v>67</v>
      </c>
      <c r="B43" s="109"/>
      <c r="C43" s="109"/>
      <c r="D43" s="109"/>
      <c r="E43" s="13" t="s">
        <v>65</v>
      </c>
      <c r="F43" s="20">
        <f>C8</f>
        <v>894.8</v>
      </c>
      <c r="G43" s="7">
        <v>2</v>
      </c>
      <c r="H43" s="25">
        <v>0.024</v>
      </c>
      <c r="I43" s="23">
        <f aca="true" t="shared" si="1" ref="I43:I50">10299.67/21/8</f>
        <v>61.30755952380952</v>
      </c>
      <c r="J43" s="21">
        <f>F43*H43*I43*G43</f>
        <v>2633.184204571429</v>
      </c>
      <c r="K43" s="24"/>
    </row>
    <row r="44" spans="1:11" s="22" customFormat="1" ht="12.75" customHeight="1">
      <c r="A44" s="117" t="s">
        <v>68</v>
      </c>
      <c r="B44" s="117"/>
      <c r="C44" s="117"/>
      <c r="D44" s="117"/>
      <c r="E44" s="13"/>
      <c r="F44" s="20"/>
      <c r="G44" s="7"/>
      <c r="H44" s="25"/>
      <c r="I44" s="23">
        <f t="shared" si="1"/>
        <v>61.30755952380952</v>
      </c>
      <c r="J44" s="21">
        <f>SUM(J42:J43)</f>
        <v>3249.6930231428573</v>
      </c>
      <c r="K44" s="24"/>
    </row>
    <row r="45" spans="1:11" s="22" customFormat="1" ht="12.75" customHeight="1">
      <c r="A45" s="110" t="s">
        <v>69</v>
      </c>
      <c r="B45" s="110"/>
      <c r="C45" s="110"/>
      <c r="D45" s="110"/>
      <c r="E45" s="13"/>
      <c r="F45" s="20"/>
      <c r="G45" s="7"/>
      <c r="H45" s="25"/>
      <c r="I45" s="23">
        <f t="shared" si="1"/>
        <v>61.30755952380952</v>
      </c>
      <c r="J45" s="21"/>
      <c r="K45" s="24"/>
    </row>
    <row r="46" spans="1:11" s="22" customFormat="1" ht="26.25" customHeight="1">
      <c r="A46" s="109" t="s">
        <v>71</v>
      </c>
      <c r="B46" s="109"/>
      <c r="C46" s="109"/>
      <c r="D46" s="109"/>
      <c r="E46" s="13" t="s">
        <v>72</v>
      </c>
      <c r="F46" s="20">
        <f>F3</f>
        <v>2</v>
      </c>
      <c r="G46" s="7">
        <v>2</v>
      </c>
      <c r="H46" s="25">
        <v>0.5</v>
      </c>
      <c r="I46" s="23">
        <f t="shared" si="1"/>
        <v>61.30755952380952</v>
      </c>
      <c r="J46" s="21">
        <f>F46*H46*I46*G46</f>
        <v>122.61511904761905</v>
      </c>
      <c r="K46" s="24"/>
    </row>
    <row r="47" spans="1:11" s="22" customFormat="1" ht="39.75" customHeight="1">
      <c r="A47" s="109" t="s">
        <v>73</v>
      </c>
      <c r="B47" s="109"/>
      <c r="C47" s="109"/>
      <c r="D47" s="109"/>
      <c r="E47" s="13" t="s">
        <v>74</v>
      </c>
      <c r="F47" s="25">
        <f>J3/100</f>
        <v>1.5</v>
      </c>
      <c r="G47" s="7">
        <v>1</v>
      </c>
      <c r="H47" s="25">
        <v>1.42</v>
      </c>
      <c r="I47" s="23">
        <f t="shared" si="1"/>
        <v>61.30755952380952</v>
      </c>
      <c r="J47" s="21">
        <f>F47*H47*I47*G47</f>
        <v>130.58510178571427</v>
      </c>
      <c r="K47" s="24"/>
    </row>
    <row r="48" spans="1:11" s="22" customFormat="1" ht="26.25" customHeight="1">
      <c r="A48" s="109" t="s">
        <v>75</v>
      </c>
      <c r="B48" s="109"/>
      <c r="C48" s="109"/>
      <c r="D48" s="109"/>
      <c r="E48" s="13" t="s">
        <v>74</v>
      </c>
      <c r="F48" s="49">
        <f>J3/100</f>
        <v>1.5</v>
      </c>
      <c r="G48" s="7">
        <v>1</v>
      </c>
      <c r="H48" s="25">
        <v>1.42</v>
      </c>
      <c r="I48" s="23">
        <f t="shared" si="1"/>
        <v>61.30755952380952</v>
      </c>
      <c r="J48" s="21">
        <f>F48*H48*I48*G48</f>
        <v>130.58510178571427</v>
      </c>
      <c r="K48" s="24"/>
    </row>
    <row r="49" spans="1:11" s="22" customFormat="1" ht="26.25" customHeight="1">
      <c r="A49" s="109" t="s">
        <v>77</v>
      </c>
      <c r="B49" s="109"/>
      <c r="C49" s="109"/>
      <c r="D49" s="109"/>
      <c r="E49" s="13" t="s">
        <v>76</v>
      </c>
      <c r="F49" s="25">
        <f>J3/100</f>
        <v>1.5</v>
      </c>
      <c r="G49" s="7">
        <v>1</v>
      </c>
      <c r="H49" s="25">
        <v>3.3</v>
      </c>
      <c r="I49" s="23">
        <f t="shared" si="1"/>
        <v>61.30755952380952</v>
      </c>
      <c r="J49" s="21">
        <f>F49*H49*I49*G49</f>
        <v>303.4724196428571</v>
      </c>
      <c r="K49" s="24"/>
    </row>
    <row r="50" spans="1:11" s="22" customFormat="1" ht="50.25" customHeight="1">
      <c r="A50" s="109" t="s">
        <v>161</v>
      </c>
      <c r="B50" s="109"/>
      <c r="C50" s="109"/>
      <c r="D50" s="109"/>
      <c r="E50" s="13" t="s">
        <v>70</v>
      </c>
      <c r="F50" s="25">
        <f>C9/1000</f>
        <v>0.5577000000000001</v>
      </c>
      <c r="G50" s="7">
        <v>1</v>
      </c>
      <c r="H50" s="25">
        <v>10</v>
      </c>
      <c r="I50" s="23">
        <f t="shared" si="1"/>
        <v>61.30755952380952</v>
      </c>
      <c r="J50" s="21">
        <f>F50*H50*I50*G50</f>
        <v>341.91225946428574</v>
      </c>
      <c r="K50" s="24"/>
    </row>
    <row r="51" spans="1:11" s="22" customFormat="1" ht="12.75" customHeight="1">
      <c r="A51" s="109" t="s">
        <v>68</v>
      </c>
      <c r="B51" s="109"/>
      <c r="C51" s="109"/>
      <c r="D51" s="109"/>
      <c r="E51" s="13"/>
      <c r="F51" s="20"/>
      <c r="G51" s="7"/>
      <c r="H51" s="25"/>
      <c r="I51" s="7"/>
      <c r="J51" s="21">
        <f>SUM(J46:J50)</f>
        <v>1029.1700017261905</v>
      </c>
      <c r="K51" s="24"/>
    </row>
    <row r="52" spans="1:11" s="22" customFormat="1" ht="12.75" customHeight="1">
      <c r="A52" s="110" t="s">
        <v>78</v>
      </c>
      <c r="B52" s="110"/>
      <c r="C52" s="110"/>
      <c r="D52" s="110"/>
      <c r="E52" s="13"/>
      <c r="F52" s="20"/>
      <c r="G52" s="7"/>
      <c r="H52" s="25"/>
      <c r="I52" s="7"/>
      <c r="J52" s="21"/>
      <c r="K52" s="24"/>
    </row>
    <row r="53" spans="1:11" s="22" customFormat="1" ht="23.25" customHeight="1">
      <c r="A53" s="109" t="s">
        <v>118</v>
      </c>
      <c r="B53" s="109"/>
      <c r="C53" s="109"/>
      <c r="D53" s="109"/>
      <c r="E53" s="13" t="s">
        <v>65</v>
      </c>
      <c r="F53" s="25">
        <f>G8/F2*3</f>
        <v>118.1</v>
      </c>
      <c r="G53" s="7">
        <v>365</v>
      </c>
      <c r="H53" s="25">
        <f>0.81/60</f>
        <v>0.013500000000000002</v>
      </c>
      <c r="I53" s="25">
        <f aca="true" t="shared" si="2" ref="I53:I58">4914.48/21/8</f>
        <v>29.252857142857142</v>
      </c>
      <c r="J53" s="21">
        <f aca="true" t="shared" si="3" ref="J53:J58">F53*H53*I53*G53</f>
        <v>17023.341866785715</v>
      </c>
      <c r="K53" s="24"/>
    </row>
    <row r="54" spans="1:11" s="22" customFormat="1" ht="26.25" customHeight="1">
      <c r="A54" s="109" t="s">
        <v>119</v>
      </c>
      <c r="B54" s="109"/>
      <c r="C54" s="109"/>
      <c r="D54" s="109"/>
      <c r="E54" s="13" t="s">
        <v>65</v>
      </c>
      <c r="F54" s="25">
        <f>G8/F2*3</f>
        <v>118.1</v>
      </c>
      <c r="G54" s="7">
        <v>24</v>
      </c>
      <c r="H54" s="25">
        <f>1.07/60</f>
        <v>0.017833333333333333</v>
      </c>
      <c r="I54" s="25">
        <f t="shared" si="2"/>
        <v>29.252857142857142</v>
      </c>
      <c r="J54" s="21">
        <f t="shared" si="3"/>
        <v>1478.638319428571</v>
      </c>
      <c r="K54" s="24"/>
    </row>
    <row r="55" spans="1:11" s="22" customFormat="1" ht="12.75" customHeight="1">
      <c r="A55" s="109" t="s">
        <v>79</v>
      </c>
      <c r="B55" s="109"/>
      <c r="C55" s="109"/>
      <c r="D55" s="109"/>
      <c r="E55" s="13" t="s">
        <v>65</v>
      </c>
      <c r="F55" s="20">
        <f>F2*F3*1.5*2</f>
        <v>18</v>
      </c>
      <c r="G55" s="26">
        <v>2</v>
      </c>
      <c r="H55" s="23">
        <f>3.8/60</f>
        <v>0.06333333333333332</v>
      </c>
      <c r="I55" s="25">
        <f t="shared" si="2"/>
        <v>29.252857142857142</v>
      </c>
      <c r="J55" s="21">
        <f t="shared" si="3"/>
        <v>66.69651428571427</v>
      </c>
      <c r="K55" s="24"/>
    </row>
    <row r="56" spans="1:10" s="22" customFormat="1" ht="12.75" customHeight="1">
      <c r="A56" s="116" t="s">
        <v>80</v>
      </c>
      <c r="B56" s="116"/>
      <c r="C56" s="116"/>
      <c r="D56" s="116"/>
      <c r="E56" s="27" t="s">
        <v>65</v>
      </c>
      <c r="F56" s="28">
        <f>G9</f>
        <v>910</v>
      </c>
      <c r="G56" s="26">
        <v>2</v>
      </c>
      <c r="H56" s="23">
        <f>0.91/60</f>
        <v>0.015166666666666667</v>
      </c>
      <c r="I56" s="25">
        <f t="shared" si="2"/>
        <v>29.252857142857142</v>
      </c>
      <c r="J56" s="21">
        <f>F56*H56*I56*G56</f>
        <v>807.4763666666666</v>
      </c>
    </row>
    <row r="57" spans="1:11" s="22" customFormat="1" ht="26.25" customHeight="1">
      <c r="A57" s="109" t="s">
        <v>104</v>
      </c>
      <c r="B57" s="109"/>
      <c r="C57" s="109"/>
      <c r="D57" s="109"/>
      <c r="E57" s="13" t="s">
        <v>65</v>
      </c>
      <c r="F57" s="20">
        <f>G10</f>
        <v>754</v>
      </c>
      <c r="G57" s="7">
        <v>365</v>
      </c>
      <c r="H57" s="56">
        <f>0.08/60</f>
        <v>0.0013333333333333333</v>
      </c>
      <c r="I57" s="25">
        <f t="shared" si="2"/>
        <v>29.252857142857142</v>
      </c>
      <c r="J57" s="21">
        <f>F57*H57*I57*G57</f>
        <v>10734.238419047617</v>
      </c>
      <c r="K57" s="24"/>
    </row>
    <row r="58" spans="1:11" s="22" customFormat="1" ht="12.75" customHeight="1">
      <c r="A58" s="109" t="s">
        <v>81</v>
      </c>
      <c r="B58" s="109"/>
      <c r="C58" s="109"/>
      <c r="D58" s="109"/>
      <c r="E58" s="13" t="s">
        <v>65</v>
      </c>
      <c r="F58" s="20">
        <f>G12</f>
        <v>838</v>
      </c>
      <c r="G58" s="7">
        <v>182</v>
      </c>
      <c r="H58" s="56">
        <f>0.077/60</f>
        <v>0.0012833333333333334</v>
      </c>
      <c r="I58" s="25">
        <f t="shared" si="2"/>
        <v>29.252857142857142</v>
      </c>
      <c r="J58" s="21">
        <f t="shared" si="3"/>
        <v>5725.628575333334</v>
      </c>
      <c r="K58" s="24"/>
    </row>
    <row r="59" spans="1:11" s="22" customFormat="1" ht="12.75" customHeight="1">
      <c r="A59" s="109" t="s">
        <v>68</v>
      </c>
      <c r="B59" s="109"/>
      <c r="C59" s="109"/>
      <c r="D59" s="109"/>
      <c r="E59" s="13"/>
      <c r="F59" s="20"/>
      <c r="G59" s="7"/>
      <c r="H59" s="25"/>
      <c r="I59" s="25"/>
      <c r="J59" s="21">
        <f>SUM(J53:J58)</f>
        <v>35836.02006154762</v>
      </c>
      <c r="K59" s="24"/>
    </row>
    <row r="60" spans="1:11" s="22" customFormat="1" ht="12.75">
      <c r="A60" s="110" t="s">
        <v>82</v>
      </c>
      <c r="B60" s="110"/>
      <c r="C60" s="110"/>
      <c r="D60" s="110"/>
      <c r="E60" s="13"/>
      <c r="F60" s="20"/>
      <c r="G60" s="13"/>
      <c r="H60" s="35"/>
      <c r="I60" s="7"/>
      <c r="J60" s="21"/>
      <c r="K60" s="24"/>
    </row>
    <row r="61" spans="1:11" s="22" customFormat="1" ht="12.75">
      <c r="A61" s="109" t="s">
        <v>83</v>
      </c>
      <c r="B61" s="109"/>
      <c r="C61" s="109"/>
      <c r="D61" s="109"/>
      <c r="E61" s="86"/>
      <c r="F61" s="86"/>
      <c r="G61" s="86"/>
      <c r="H61" s="86"/>
      <c r="I61" s="7"/>
      <c r="J61" s="21">
        <f>300079.59/216035.97*C8</f>
        <v>1242.9005092624159</v>
      </c>
      <c r="K61" s="24"/>
    </row>
    <row r="62" spans="1:11" s="22" customFormat="1" ht="12.75">
      <c r="A62" s="109" t="s">
        <v>84</v>
      </c>
      <c r="B62" s="109"/>
      <c r="C62" s="109"/>
      <c r="D62" s="109"/>
      <c r="E62" s="86"/>
      <c r="F62" s="86"/>
      <c r="G62" s="86"/>
      <c r="H62" s="86"/>
      <c r="I62" s="7"/>
      <c r="J62" s="21">
        <f>99563.03/216035.97*C8</f>
        <v>412.3803977828322</v>
      </c>
      <c r="K62" s="24"/>
    </row>
    <row r="63" spans="1:11" s="22" customFormat="1" ht="12.75">
      <c r="A63" s="118" t="s">
        <v>100</v>
      </c>
      <c r="B63" s="119"/>
      <c r="C63" s="119"/>
      <c r="D63" s="120"/>
      <c r="E63" s="106"/>
      <c r="F63" s="107"/>
      <c r="G63" s="107"/>
      <c r="H63" s="108"/>
      <c r="I63" s="38"/>
      <c r="J63" s="21">
        <f>5366787.25/216035.97*C8</f>
        <v>22228.711409956406</v>
      </c>
      <c r="K63" s="24"/>
    </row>
    <row r="64" spans="1:11" s="22" customFormat="1" ht="12.75">
      <c r="A64" s="109" t="s">
        <v>85</v>
      </c>
      <c r="B64" s="109"/>
      <c r="C64" s="109"/>
      <c r="D64" s="109"/>
      <c r="E64" s="86" t="s">
        <v>86</v>
      </c>
      <c r="F64" s="86"/>
      <c r="G64" s="86"/>
      <c r="H64" s="86"/>
      <c r="I64" s="7"/>
      <c r="J64" s="37">
        <f>1478082.24/216035.97*C8</f>
        <v>6122.073043447348</v>
      </c>
      <c r="K64" s="24"/>
    </row>
    <row r="65" spans="1:11" s="22" customFormat="1" ht="12.75">
      <c r="A65" s="109" t="s">
        <v>87</v>
      </c>
      <c r="B65" s="109"/>
      <c r="C65" s="109"/>
      <c r="D65" s="109"/>
      <c r="E65" s="86" t="s">
        <v>86</v>
      </c>
      <c r="F65" s="86"/>
      <c r="G65" s="86"/>
      <c r="H65" s="86"/>
      <c r="I65" s="7"/>
      <c r="J65" s="21">
        <f>3148900/216035.97*C8</f>
        <v>13042.43788661675</v>
      </c>
      <c r="K65" s="24"/>
    </row>
    <row r="66" spans="1:11" s="22" customFormat="1" ht="12.75">
      <c r="A66" s="109" t="s">
        <v>88</v>
      </c>
      <c r="B66" s="109"/>
      <c r="C66" s="109"/>
      <c r="D66" s="109"/>
      <c r="E66" s="86" t="s">
        <v>89</v>
      </c>
      <c r="F66" s="86"/>
      <c r="G66" s="86"/>
      <c r="H66" s="86"/>
      <c r="I66" s="7"/>
      <c r="J66" s="21">
        <f>(111173.4)/216035.97*C8</f>
        <v>460.4694223836891</v>
      </c>
      <c r="K66" s="24"/>
    </row>
    <row r="67" spans="1:11" s="22" customFormat="1" ht="12.75">
      <c r="A67" s="109" t="s">
        <v>162</v>
      </c>
      <c r="B67" s="109"/>
      <c r="C67" s="109"/>
      <c r="D67" s="109"/>
      <c r="E67" s="86" t="s">
        <v>90</v>
      </c>
      <c r="F67" s="86"/>
      <c r="G67" s="86"/>
      <c r="H67" s="86"/>
      <c r="I67" s="7"/>
      <c r="J67" s="21">
        <f>198400.51/216035.97*C8</f>
        <v>821.755637952328</v>
      </c>
      <c r="K67" s="24"/>
    </row>
    <row r="68" spans="1:11" s="22" customFormat="1" ht="12.75">
      <c r="A68" s="109" t="s">
        <v>91</v>
      </c>
      <c r="B68" s="109"/>
      <c r="C68" s="109"/>
      <c r="D68" s="109"/>
      <c r="E68" s="86" t="s">
        <v>86</v>
      </c>
      <c r="F68" s="86"/>
      <c r="G68" s="86"/>
      <c r="H68" s="86"/>
      <c r="I68" s="7"/>
      <c r="J68" s="50">
        <f>6255875.28/216035.97*C8</f>
        <v>25911.22765595007</v>
      </c>
      <c r="K68" s="24"/>
    </row>
    <row r="69" spans="1:11" s="22" customFormat="1" ht="12.75">
      <c r="A69" s="109" t="s">
        <v>92</v>
      </c>
      <c r="B69" s="109"/>
      <c r="C69" s="109"/>
      <c r="D69" s="109"/>
      <c r="E69" s="86" t="s">
        <v>86</v>
      </c>
      <c r="F69" s="86"/>
      <c r="G69" s="86"/>
      <c r="H69" s="86"/>
      <c r="I69" s="7"/>
      <c r="J69" s="50">
        <f>574141.03/216035.97*C8</f>
        <v>2378.036368869499</v>
      </c>
      <c r="K69" s="24"/>
    </row>
    <row r="70" spans="1:11" s="22" customFormat="1" ht="12.75">
      <c r="A70" s="109" t="s">
        <v>93</v>
      </c>
      <c r="B70" s="109"/>
      <c r="C70" s="109"/>
      <c r="D70" s="109"/>
      <c r="E70" s="86"/>
      <c r="F70" s="86"/>
      <c r="G70" s="86"/>
      <c r="H70" s="86"/>
      <c r="I70" s="7"/>
      <c r="J70" s="50">
        <f>7623081.82/216035.97*C8</f>
        <v>31574.064321492388</v>
      </c>
      <c r="K70" s="24"/>
    </row>
    <row r="71" spans="1:11" s="22" customFormat="1" ht="12.75">
      <c r="A71" s="109" t="s">
        <v>94</v>
      </c>
      <c r="B71" s="109"/>
      <c r="C71" s="109"/>
      <c r="D71" s="109"/>
      <c r="E71" s="12"/>
      <c r="F71" s="12"/>
      <c r="G71" s="12"/>
      <c r="H71" s="33"/>
      <c r="I71" s="12"/>
      <c r="J71" s="37">
        <f>5899496.16/216035.97*C8</f>
        <v>24435.139962886733</v>
      </c>
      <c r="K71" s="24"/>
    </row>
    <row r="72" spans="1:11" s="22" customFormat="1" ht="12.75">
      <c r="A72" s="109" t="s">
        <v>68</v>
      </c>
      <c r="B72" s="109"/>
      <c r="C72" s="109"/>
      <c r="D72" s="109"/>
      <c r="E72" s="13"/>
      <c r="F72" s="13"/>
      <c r="G72" s="13"/>
      <c r="H72" s="35"/>
      <c r="I72" s="7"/>
      <c r="J72" s="21">
        <f>SUM(J61:J71)</f>
        <v>128629.19661660047</v>
      </c>
      <c r="K72" s="24"/>
    </row>
    <row r="73" spans="1:11" s="22" customFormat="1" ht="12.75" customHeight="1">
      <c r="A73" s="109" t="s">
        <v>95</v>
      </c>
      <c r="B73" s="109"/>
      <c r="C73" s="109"/>
      <c r="D73" s="109"/>
      <c r="E73" s="13"/>
      <c r="F73" s="20"/>
      <c r="G73" s="13"/>
      <c r="H73" s="35"/>
      <c r="I73" s="7"/>
      <c r="J73" s="21">
        <f>J44+J51+J59+J72</f>
        <v>168744.07970301714</v>
      </c>
      <c r="K73" s="24"/>
    </row>
    <row r="74" spans="1:11" ht="12.75">
      <c r="A74" s="97" t="s">
        <v>96</v>
      </c>
      <c r="B74" s="97"/>
      <c r="C74" s="97"/>
      <c r="D74" s="97"/>
      <c r="E74" s="97"/>
      <c r="F74" s="97"/>
      <c r="G74" s="97"/>
      <c r="H74" s="97"/>
      <c r="I74" s="97"/>
      <c r="J74" s="29">
        <v>0</v>
      </c>
      <c r="K74" s="24"/>
    </row>
    <row r="75" spans="1:11" ht="12.75">
      <c r="A75" s="97" t="s">
        <v>97</v>
      </c>
      <c r="B75" s="97"/>
      <c r="C75" s="97"/>
      <c r="D75" s="97"/>
      <c r="E75" s="97"/>
      <c r="F75" s="97"/>
      <c r="G75" s="97"/>
      <c r="H75" s="97"/>
      <c r="I75" s="97"/>
      <c r="J75" s="14">
        <f>J73+J74</f>
        <v>168744.07970301714</v>
      </c>
      <c r="K75" s="24"/>
    </row>
    <row r="76" spans="1:11" ht="12.75">
      <c r="A76" s="97" t="s">
        <v>98</v>
      </c>
      <c r="B76" s="97"/>
      <c r="C76" s="97"/>
      <c r="D76" s="97"/>
      <c r="E76" s="97"/>
      <c r="F76" s="97"/>
      <c r="G76" s="97"/>
      <c r="H76" s="97"/>
      <c r="I76" s="97"/>
      <c r="J76" s="29">
        <f>J75*0.18</f>
        <v>30373.934346543083</v>
      </c>
      <c r="K76" s="24"/>
    </row>
    <row r="77" spans="1:11" ht="12.75">
      <c r="A77" s="97" t="s">
        <v>99</v>
      </c>
      <c r="B77" s="97"/>
      <c r="C77" s="97"/>
      <c r="D77" s="97"/>
      <c r="E77" s="97"/>
      <c r="F77" s="97"/>
      <c r="G77" s="97"/>
      <c r="H77" s="97"/>
      <c r="I77" s="97"/>
      <c r="J77" s="30">
        <f>J76+J75</f>
        <v>199118.0140495602</v>
      </c>
      <c r="K77" s="31"/>
    </row>
    <row r="78" spans="1:11" ht="12.75">
      <c r="A78" s="39"/>
      <c r="B78" s="39"/>
      <c r="C78" s="39"/>
      <c r="D78" s="39"/>
      <c r="E78" s="39"/>
      <c r="F78" s="39"/>
      <c r="G78" s="39"/>
      <c r="H78" s="39"/>
      <c r="I78" s="39"/>
      <c r="J78" s="40"/>
      <c r="K78" s="31"/>
    </row>
    <row r="79" spans="1:11" ht="15">
      <c r="A79" s="45" t="s">
        <v>105</v>
      </c>
      <c r="B79" s="43"/>
      <c r="C79" s="43"/>
      <c r="D79" s="43"/>
      <c r="E79" s="43"/>
      <c r="F79" s="43"/>
      <c r="G79" s="43"/>
      <c r="H79" s="44"/>
      <c r="I79" s="39"/>
      <c r="J79" s="40"/>
      <c r="K79" s="31"/>
    </row>
    <row r="80" spans="1:11" ht="27" customHeight="1">
      <c r="A80" s="127" t="s">
        <v>168</v>
      </c>
      <c r="B80" s="128"/>
      <c r="C80" s="127" t="s">
        <v>169</v>
      </c>
      <c r="D80" s="128"/>
      <c r="E80" s="127" t="s">
        <v>106</v>
      </c>
      <c r="F80" s="128"/>
      <c r="G80" s="127" t="s">
        <v>107</v>
      </c>
      <c r="H80" s="128"/>
      <c r="I80" s="39"/>
      <c r="J80" s="40"/>
      <c r="K80" s="31"/>
    </row>
    <row r="81" spans="1:11" ht="12.75">
      <c r="A81" s="122">
        <f>3880.07+4099.84+5592.46+6646.8</f>
        <v>20219.17</v>
      </c>
      <c r="B81" s="123"/>
      <c r="C81" s="99">
        <v>0</v>
      </c>
      <c r="D81" s="124"/>
      <c r="E81" s="125"/>
      <c r="F81" s="124"/>
      <c r="G81" s="125">
        <f>C81+A81</f>
        <v>20219.17</v>
      </c>
      <c r="H81" s="126"/>
      <c r="I81" s="39"/>
      <c r="J81" s="40"/>
      <c r="K81" s="31"/>
    </row>
    <row r="82" spans="1:11" ht="12.75">
      <c r="A82" s="39"/>
      <c r="B82" s="39"/>
      <c r="C82" s="39"/>
      <c r="D82" s="39"/>
      <c r="E82" s="39"/>
      <c r="F82" s="39"/>
      <c r="G82" s="39"/>
      <c r="H82" s="39"/>
      <c r="I82" s="39"/>
      <c r="J82" s="40"/>
      <c r="K82" s="31"/>
    </row>
    <row r="83" spans="1:11" ht="15">
      <c r="A83" s="45" t="s">
        <v>108</v>
      </c>
      <c r="B83" s="46"/>
      <c r="C83" s="46"/>
      <c r="D83" s="43"/>
      <c r="E83" s="43"/>
      <c r="F83" s="43"/>
      <c r="G83" s="43"/>
      <c r="H83" s="44"/>
      <c r="I83" s="39"/>
      <c r="J83" s="40"/>
      <c r="K83" s="31"/>
    </row>
    <row r="84" spans="1:11" ht="27" customHeight="1">
      <c r="A84" s="127" t="s">
        <v>109</v>
      </c>
      <c r="B84" s="128"/>
      <c r="C84" s="127" t="s">
        <v>110</v>
      </c>
      <c r="D84" s="128"/>
      <c r="E84" s="121" t="s">
        <v>111</v>
      </c>
      <c r="F84" s="121"/>
      <c r="G84" s="129"/>
      <c r="H84" s="129"/>
      <c r="I84" s="39"/>
      <c r="J84" s="40"/>
      <c r="K84" s="31"/>
    </row>
    <row r="85" spans="1:11" ht="27" customHeight="1">
      <c r="A85" s="132"/>
      <c r="B85" s="133"/>
      <c r="C85" s="134"/>
      <c r="D85" s="108"/>
      <c r="E85" s="135"/>
      <c r="F85" s="97"/>
      <c r="G85" s="130"/>
      <c r="H85" s="130"/>
      <c r="I85" s="39"/>
      <c r="J85" s="40"/>
      <c r="K85" s="31"/>
    </row>
    <row r="86" spans="1:11" ht="12.75">
      <c r="A86" s="39"/>
      <c r="B86" s="39"/>
      <c r="C86" s="39"/>
      <c r="D86" s="39"/>
      <c r="E86" s="39"/>
      <c r="F86" s="39"/>
      <c r="G86" s="39"/>
      <c r="H86" s="39"/>
      <c r="I86" s="39"/>
      <c r="J86" s="40"/>
      <c r="K86" s="31"/>
    </row>
    <row r="87" spans="1:11" ht="12.75">
      <c r="A87" s="131" t="s">
        <v>103</v>
      </c>
      <c r="B87" s="131"/>
      <c r="C87" s="131"/>
      <c r="D87" s="131"/>
      <c r="E87" s="131"/>
      <c r="F87" s="39"/>
      <c r="G87" s="39"/>
      <c r="H87" s="39"/>
      <c r="I87" s="39"/>
      <c r="J87" s="40"/>
      <c r="K87" s="31"/>
    </row>
    <row r="88" spans="1:11" ht="12.75">
      <c r="A88" s="131"/>
      <c r="B88" s="131"/>
      <c r="C88" s="131"/>
      <c r="D88" s="131"/>
      <c r="E88" s="131"/>
      <c r="F88" s="39"/>
      <c r="G88" s="39"/>
      <c r="H88" s="39"/>
      <c r="I88" s="39"/>
      <c r="J88" s="40"/>
      <c r="K88" s="31"/>
    </row>
    <row r="89" spans="1:11" ht="12.75">
      <c r="A89" s="39"/>
      <c r="B89" s="39"/>
      <c r="C89" s="39"/>
      <c r="D89" s="39"/>
      <c r="E89" s="39"/>
      <c r="F89" s="39"/>
      <c r="G89" s="39"/>
      <c r="H89" s="39"/>
      <c r="I89" s="39"/>
      <c r="J89" s="40"/>
      <c r="K89" s="31"/>
    </row>
    <row r="90" spans="1:8" ht="12.75">
      <c r="A90" s="58" t="s">
        <v>124</v>
      </c>
      <c r="B90" s="59"/>
      <c r="C90" s="59"/>
      <c r="D90" s="59"/>
      <c r="E90" s="60" t="s">
        <v>163</v>
      </c>
      <c r="F90" s="60" t="s">
        <v>125</v>
      </c>
      <c r="G90" s="60" t="s">
        <v>101</v>
      </c>
      <c r="H90" s="61" t="s">
        <v>102</v>
      </c>
    </row>
    <row r="91" spans="1:9" s="65" customFormat="1" ht="12.75">
      <c r="A91" s="69" t="s">
        <v>155</v>
      </c>
      <c r="B91" s="70"/>
      <c r="C91" s="70"/>
      <c r="D91" s="70"/>
      <c r="E91" s="71" t="s">
        <v>140</v>
      </c>
      <c r="F91" s="71">
        <v>4.8</v>
      </c>
      <c r="G91" s="71">
        <v>49.5</v>
      </c>
      <c r="H91" s="72">
        <f>G91*F91</f>
        <v>237.6</v>
      </c>
      <c r="I91" s="64"/>
    </row>
    <row r="92" spans="1:9" s="65" customFormat="1" ht="12.75">
      <c r="A92" s="75" t="s">
        <v>127</v>
      </c>
      <c r="B92" s="76"/>
      <c r="C92" s="76"/>
      <c r="D92" s="76"/>
      <c r="E92" s="76"/>
      <c r="F92" s="76"/>
      <c r="G92" s="77"/>
      <c r="H92" s="66">
        <f>SUM(H91)</f>
        <v>237.6</v>
      </c>
      <c r="I92" s="64"/>
    </row>
    <row r="93" spans="1:8" ht="12.75">
      <c r="A93" s="58" t="s">
        <v>128</v>
      </c>
      <c r="B93" s="59"/>
      <c r="C93" s="59"/>
      <c r="D93" s="59"/>
      <c r="E93" s="60"/>
      <c r="F93" s="60"/>
      <c r="G93" s="60"/>
      <c r="H93" s="61"/>
    </row>
    <row r="94" spans="1:10" s="65" customFormat="1" ht="12.75">
      <c r="A94" s="75" t="s">
        <v>129</v>
      </c>
      <c r="B94" s="76"/>
      <c r="C94" s="76"/>
      <c r="D94" s="76"/>
      <c r="E94" s="76"/>
      <c r="F94" s="76"/>
      <c r="G94" s="77"/>
      <c r="H94" s="63">
        <v>0</v>
      </c>
      <c r="I94" s="67"/>
      <c r="J94" s="68"/>
    </row>
    <row r="95" spans="1:8" ht="12.75">
      <c r="A95" s="58" t="s">
        <v>130</v>
      </c>
      <c r="B95" s="59"/>
      <c r="C95" s="59"/>
      <c r="D95" s="59"/>
      <c r="E95" s="60"/>
      <c r="F95" s="60"/>
      <c r="G95" s="60"/>
      <c r="H95" s="61"/>
    </row>
    <row r="96" spans="1:9" s="65" customFormat="1" ht="12.75">
      <c r="A96" s="75" t="s">
        <v>131</v>
      </c>
      <c r="B96" s="76"/>
      <c r="C96" s="76"/>
      <c r="D96" s="76"/>
      <c r="E96" s="76"/>
      <c r="F96" s="76"/>
      <c r="G96" s="77"/>
      <c r="H96" s="63">
        <v>0</v>
      </c>
      <c r="I96" s="67"/>
    </row>
    <row r="97" spans="1:8" ht="12.75">
      <c r="A97" s="58" t="s">
        <v>132</v>
      </c>
      <c r="B97" s="59"/>
      <c r="C97" s="59"/>
      <c r="D97" s="59"/>
      <c r="E97" s="60"/>
      <c r="F97" s="60"/>
      <c r="G97" s="60"/>
      <c r="H97" s="61"/>
    </row>
    <row r="98" spans="1:9" s="65" customFormat="1" ht="12.75">
      <c r="A98" s="69" t="s">
        <v>153</v>
      </c>
      <c r="B98" s="70"/>
      <c r="C98" s="70"/>
      <c r="D98" s="70"/>
      <c r="E98" s="71" t="s">
        <v>126</v>
      </c>
      <c r="F98" s="71">
        <v>1</v>
      </c>
      <c r="G98" s="71">
        <v>210</v>
      </c>
      <c r="H98" s="72">
        <f>G98*F98</f>
        <v>210</v>
      </c>
      <c r="I98" s="64"/>
    </row>
    <row r="99" spans="1:9" s="65" customFormat="1" ht="12.75">
      <c r="A99" s="69" t="s">
        <v>154</v>
      </c>
      <c r="B99" s="70"/>
      <c r="C99" s="70"/>
      <c r="D99" s="70"/>
      <c r="E99" s="71" t="s">
        <v>126</v>
      </c>
      <c r="F99" s="71">
        <v>1</v>
      </c>
      <c r="G99" s="71">
        <v>42.59</v>
      </c>
      <c r="H99" s="72">
        <f>G99*F99</f>
        <v>42.59</v>
      </c>
      <c r="I99" s="64"/>
    </row>
    <row r="100" spans="1:9" s="65" customFormat="1" ht="12.75">
      <c r="A100" s="75" t="s">
        <v>133</v>
      </c>
      <c r="B100" s="76"/>
      <c r="C100" s="76"/>
      <c r="D100" s="76"/>
      <c r="E100" s="76"/>
      <c r="F100" s="76"/>
      <c r="G100" s="77"/>
      <c r="H100" s="63">
        <f>SUM(H98:H99)</f>
        <v>252.59</v>
      </c>
      <c r="I100" s="67"/>
    </row>
    <row r="101" spans="1:8" ht="15" customHeight="1">
      <c r="A101" s="58" t="s">
        <v>134</v>
      </c>
      <c r="B101" s="59"/>
      <c r="C101" s="59"/>
      <c r="D101" s="59"/>
      <c r="E101" s="60"/>
      <c r="F101" s="60"/>
      <c r="G101" s="60"/>
      <c r="H101" s="62" t="s">
        <v>135</v>
      </c>
    </row>
    <row r="102" spans="1:9" s="65" customFormat="1" ht="12.75">
      <c r="A102" s="75" t="s">
        <v>136</v>
      </c>
      <c r="B102" s="76"/>
      <c r="C102" s="76"/>
      <c r="D102" s="76"/>
      <c r="E102" s="76"/>
      <c r="F102" s="76"/>
      <c r="G102" s="77"/>
      <c r="H102" s="63">
        <f>F101*G101</f>
        <v>0</v>
      </c>
      <c r="I102" s="67"/>
    </row>
    <row r="103" spans="1:8" ht="12.75">
      <c r="A103" s="58" t="s">
        <v>137</v>
      </c>
      <c r="B103" s="59"/>
      <c r="C103" s="59"/>
      <c r="D103" s="59"/>
      <c r="E103" s="60"/>
      <c r="F103" s="60"/>
      <c r="G103" s="60"/>
      <c r="H103" s="62" t="s">
        <v>135</v>
      </c>
    </row>
    <row r="104" spans="1:9" s="65" customFormat="1" ht="12.75">
      <c r="A104" s="75" t="s">
        <v>138</v>
      </c>
      <c r="B104" s="76"/>
      <c r="C104" s="76"/>
      <c r="D104" s="76"/>
      <c r="E104" s="76"/>
      <c r="F104" s="76"/>
      <c r="G104" s="77"/>
      <c r="H104" s="63">
        <v>0</v>
      </c>
      <c r="I104" s="64"/>
    </row>
    <row r="105" spans="1:8" ht="12.75">
      <c r="A105" s="58" t="s">
        <v>139</v>
      </c>
      <c r="B105" s="59"/>
      <c r="C105" s="59"/>
      <c r="D105" s="59"/>
      <c r="E105" s="60"/>
      <c r="F105" s="60"/>
      <c r="G105" s="60"/>
      <c r="H105" s="62"/>
    </row>
    <row r="106" spans="1:9" s="65" customFormat="1" ht="12.75">
      <c r="A106" s="75" t="s">
        <v>141</v>
      </c>
      <c r="B106" s="76"/>
      <c r="C106" s="76"/>
      <c r="D106" s="76"/>
      <c r="E106" s="76"/>
      <c r="F106" s="76"/>
      <c r="G106" s="77"/>
      <c r="H106" s="63">
        <v>0</v>
      </c>
      <c r="I106" s="64"/>
    </row>
    <row r="107" spans="1:8" ht="12.75">
      <c r="A107" s="58" t="s">
        <v>142</v>
      </c>
      <c r="B107" s="59"/>
      <c r="C107" s="59"/>
      <c r="D107" s="59"/>
      <c r="E107" s="60"/>
      <c r="F107" s="60"/>
      <c r="G107" s="60"/>
      <c r="H107" s="62"/>
    </row>
    <row r="108" spans="1:9" s="65" customFormat="1" ht="12.75">
      <c r="A108" s="75" t="s">
        <v>143</v>
      </c>
      <c r="B108" s="76"/>
      <c r="C108" s="76"/>
      <c r="D108" s="76"/>
      <c r="E108" s="76"/>
      <c r="F108" s="76"/>
      <c r="G108" s="77"/>
      <c r="H108" s="63">
        <v>0</v>
      </c>
      <c r="I108" s="67"/>
    </row>
    <row r="109" spans="1:8" ht="12.75">
      <c r="A109" s="58" t="s">
        <v>144</v>
      </c>
      <c r="B109" s="59"/>
      <c r="C109" s="59"/>
      <c r="D109" s="59"/>
      <c r="E109" s="60"/>
      <c r="F109" s="60"/>
      <c r="G109" s="60"/>
      <c r="H109" s="62"/>
    </row>
    <row r="110" spans="1:9" s="141" customFormat="1" ht="12.75">
      <c r="A110" s="136" t="s">
        <v>170</v>
      </c>
      <c r="B110" s="137"/>
      <c r="C110" s="137"/>
      <c r="D110" s="137"/>
      <c r="E110" s="136" t="s">
        <v>140</v>
      </c>
      <c r="F110" s="138">
        <v>50</v>
      </c>
      <c r="G110" s="138">
        <v>10.13</v>
      </c>
      <c r="H110" s="139">
        <f>G110*F110</f>
        <v>506.50000000000006</v>
      </c>
      <c r="I110" s="140"/>
    </row>
    <row r="111" spans="1:9" s="141" customFormat="1" ht="12.75">
      <c r="A111" s="136" t="s">
        <v>171</v>
      </c>
      <c r="B111" s="137"/>
      <c r="C111" s="137"/>
      <c r="D111" s="137"/>
      <c r="E111" s="136" t="s">
        <v>126</v>
      </c>
      <c r="F111" s="138">
        <v>4</v>
      </c>
      <c r="G111" s="138">
        <v>68.2</v>
      </c>
      <c r="H111" s="139">
        <f>G111*F111</f>
        <v>272.8</v>
      </c>
      <c r="I111" s="140"/>
    </row>
    <row r="112" spans="1:9" s="141" customFormat="1" ht="12.75">
      <c r="A112" s="136" t="s">
        <v>172</v>
      </c>
      <c r="B112" s="137"/>
      <c r="C112" s="137"/>
      <c r="D112" s="137"/>
      <c r="E112" s="136" t="s">
        <v>150</v>
      </c>
      <c r="F112" s="138">
        <v>10.5</v>
      </c>
      <c r="G112" s="138">
        <v>256.09</v>
      </c>
      <c r="H112" s="139">
        <f>G112*F112</f>
        <v>2688.9449999999997</v>
      </c>
      <c r="I112" s="140"/>
    </row>
    <row r="113" spans="1:9" s="141" customFormat="1" ht="12.75">
      <c r="A113" s="142" t="s">
        <v>145</v>
      </c>
      <c r="B113" s="143"/>
      <c r="C113" s="143"/>
      <c r="D113" s="143"/>
      <c r="E113" s="143"/>
      <c r="F113" s="143"/>
      <c r="G113" s="144"/>
      <c r="H113" s="145">
        <f>SUM(H110:H112)</f>
        <v>3468.245</v>
      </c>
      <c r="I113" s="146"/>
    </row>
    <row r="114" spans="1:8" ht="12.75">
      <c r="A114" s="58" t="s">
        <v>146</v>
      </c>
      <c r="B114" s="59"/>
      <c r="C114" s="59"/>
      <c r="D114" s="59"/>
      <c r="E114" s="60"/>
      <c r="F114" s="60"/>
      <c r="G114" s="60"/>
      <c r="H114" s="62"/>
    </row>
    <row r="115" spans="1:9" s="65" customFormat="1" ht="12.75">
      <c r="A115" s="75" t="s">
        <v>147</v>
      </c>
      <c r="B115" s="76"/>
      <c r="C115" s="76"/>
      <c r="D115" s="76"/>
      <c r="E115" s="76"/>
      <c r="F115" s="76"/>
      <c r="G115" s="77"/>
      <c r="H115" s="63">
        <v>0</v>
      </c>
      <c r="I115" s="67"/>
    </row>
    <row r="116" spans="1:8" ht="12.75">
      <c r="A116" s="58" t="s">
        <v>148</v>
      </c>
      <c r="B116" s="59"/>
      <c r="C116" s="59"/>
      <c r="D116" s="59"/>
      <c r="E116" s="60"/>
      <c r="F116" s="60"/>
      <c r="G116" s="60"/>
      <c r="H116" s="62"/>
    </row>
    <row r="117" spans="1:9" s="65" customFormat="1" ht="12.75">
      <c r="A117" s="75" t="s">
        <v>149</v>
      </c>
      <c r="B117" s="76"/>
      <c r="C117" s="76"/>
      <c r="D117" s="76"/>
      <c r="E117" s="76"/>
      <c r="F117" s="76"/>
      <c r="G117" s="77"/>
      <c r="H117" s="63">
        <f>F116*G116</f>
        <v>0</v>
      </c>
      <c r="I117" s="67"/>
    </row>
    <row r="118" spans="1:8" ht="12.75">
      <c r="A118" s="58" t="s">
        <v>151</v>
      </c>
      <c r="B118" s="59"/>
      <c r="C118" s="59"/>
      <c r="D118" s="59"/>
      <c r="E118" s="60"/>
      <c r="F118" s="60"/>
      <c r="G118" s="60"/>
      <c r="H118" s="62"/>
    </row>
    <row r="119" spans="1:9" s="65" customFormat="1" ht="12.75">
      <c r="A119" s="75" t="s">
        <v>152</v>
      </c>
      <c r="B119" s="76"/>
      <c r="C119" s="76"/>
      <c r="D119" s="76"/>
      <c r="E119" s="76"/>
      <c r="F119" s="76"/>
      <c r="G119" s="77"/>
      <c r="H119" s="63">
        <v>0</v>
      </c>
      <c r="I119" s="67"/>
    </row>
    <row r="120" spans="1:9" s="65" customFormat="1" ht="12.75">
      <c r="A120" s="69" t="s">
        <v>164</v>
      </c>
      <c r="B120" s="70"/>
      <c r="C120" s="70"/>
      <c r="D120" s="70"/>
      <c r="E120" s="71"/>
      <c r="F120" s="71"/>
      <c r="G120" s="71"/>
      <c r="H120" s="66">
        <v>19520.97</v>
      </c>
      <c r="I120" s="64"/>
    </row>
    <row r="121" spans="1:11" ht="12.75">
      <c r="A121" s="42" t="s">
        <v>165</v>
      </c>
      <c r="B121" s="41"/>
      <c r="C121" s="41"/>
      <c r="D121" s="41"/>
      <c r="E121" s="51"/>
      <c r="F121" s="39"/>
      <c r="G121" s="39"/>
      <c r="H121" s="74">
        <f>H120+H113+H100+H92</f>
        <v>23479.405</v>
      </c>
      <c r="I121" s="39"/>
      <c r="J121" s="40"/>
      <c r="K121" s="31"/>
    </row>
  </sheetData>
  <sheetProtection/>
  <mergeCells count="157">
    <mergeCell ref="A115:G115"/>
    <mergeCell ref="A117:G117"/>
    <mergeCell ref="A108:G108"/>
    <mergeCell ref="A96:G96"/>
    <mergeCell ref="A100:G100"/>
    <mergeCell ref="A104:G104"/>
    <mergeCell ref="A87:E88"/>
    <mergeCell ref="A85:B85"/>
    <mergeCell ref="C85:D85"/>
    <mergeCell ref="E85:F85"/>
    <mergeCell ref="A106:G106"/>
    <mergeCell ref="A113:G113"/>
    <mergeCell ref="A80:B80"/>
    <mergeCell ref="C80:D80"/>
    <mergeCell ref="E80:F80"/>
    <mergeCell ref="G80:H80"/>
    <mergeCell ref="G84:H84"/>
    <mergeCell ref="A94:G94"/>
    <mergeCell ref="G85:H85"/>
    <mergeCell ref="A84:B84"/>
    <mergeCell ref="C84:D84"/>
    <mergeCell ref="A92:G92"/>
    <mergeCell ref="E84:F84"/>
    <mergeCell ref="A73:D73"/>
    <mergeCell ref="A74:I74"/>
    <mergeCell ref="A75:I75"/>
    <mergeCell ref="A76:I76"/>
    <mergeCell ref="A81:B81"/>
    <mergeCell ref="C81:D81"/>
    <mergeCell ref="E81:F81"/>
    <mergeCell ref="G81:H81"/>
    <mergeCell ref="A77:I77"/>
    <mergeCell ref="A64:D64"/>
    <mergeCell ref="E64:H64"/>
    <mergeCell ref="A71:D71"/>
    <mergeCell ref="A65:D65"/>
    <mergeCell ref="E65:H65"/>
    <mergeCell ref="E68:H68"/>
    <mergeCell ref="A69:D69"/>
    <mergeCell ref="E69:H69"/>
    <mergeCell ref="A70:D70"/>
    <mergeCell ref="E70:H70"/>
    <mergeCell ref="A72:D72"/>
    <mergeCell ref="A66:D66"/>
    <mergeCell ref="E66:H66"/>
    <mergeCell ref="A67:D67"/>
    <mergeCell ref="E67:H67"/>
    <mergeCell ref="A68:D68"/>
    <mergeCell ref="A60:D60"/>
    <mergeCell ref="A61:D61"/>
    <mergeCell ref="E61:H61"/>
    <mergeCell ref="A62:D62"/>
    <mergeCell ref="E62:H62"/>
    <mergeCell ref="A63:D63"/>
    <mergeCell ref="E63:H63"/>
    <mergeCell ref="A44:D44"/>
    <mergeCell ref="A45:D45"/>
    <mergeCell ref="A42:D42"/>
    <mergeCell ref="A43:D43"/>
    <mergeCell ref="A58:D58"/>
    <mergeCell ref="A59:D59"/>
    <mergeCell ref="A51:D51"/>
    <mergeCell ref="A46:D46"/>
    <mergeCell ref="A47:D47"/>
    <mergeCell ref="A48:D48"/>
    <mergeCell ref="A49:D49"/>
    <mergeCell ref="A50:D50"/>
    <mergeCell ref="A57:D57"/>
    <mergeCell ref="A55:D55"/>
    <mergeCell ref="A56:D56"/>
    <mergeCell ref="A52:D52"/>
    <mergeCell ref="A53:D53"/>
    <mergeCell ref="A54:D54"/>
    <mergeCell ref="A40:D40"/>
    <mergeCell ref="A41:D41"/>
    <mergeCell ref="A36:C36"/>
    <mergeCell ref="D36:J36"/>
    <mergeCell ref="F37:J37"/>
    <mergeCell ref="A38:D39"/>
    <mergeCell ref="E38:E39"/>
    <mergeCell ref="F38:G38"/>
    <mergeCell ref="H38:H39"/>
    <mergeCell ref="I38:I39"/>
    <mergeCell ref="A32:B32"/>
    <mergeCell ref="C32:E32"/>
    <mergeCell ref="F32:H32"/>
    <mergeCell ref="J38:J39"/>
    <mergeCell ref="A33:B33"/>
    <mergeCell ref="C33:E33"/>
    <mergeCell ref="F33:H33"/>
    <mergeCell ref="A34:B34"/>
    <mergeCell ref="C34:E34"/>
    <mergeCell ref="F34:H34"/>
    <mergeCell ref="A30:B30"/>
    <mergeCell ref="C30:E30"/>
    <mergeCell ref="F30:H30"/>
    <mergeCell ref="A31:B31"/>
    <mergeCell ref="C31:E31"/>
    <mergeCell ref="F31:H31"/>
    <mergeCell ref="A28:B28"/>
    <mergeCell ref="C28:E28"/>
    <mergeCell ref="F28:H28"/>
    <mergeCell ref="A29:B29"/>
    <mergeCell ref="C29:E29"/>
    <mergeCell ref="F29:H29"/>
    <mergeCell ref="A20:B20"/>
    <mergeCell ref="C20:D20"/>
    <mergeCell ref="A26:B26"/>
    <mergeCell ref="C26:E26"/>
    <mergeCell ref="F26:H26"/>
    <mergeCell ref="A27:B27"/>
    <mergeCell ref="C27:E27"/>
    <mergeCell ref="F27:H27"/>
    <mergeCell ref="A24:B24"/>
    <mergeCell ref="C24:E24"/>
    <mergeCell ref="F24:H24"/>
    <mergeCell ref="A25:B25"/>
    <mergeCell ref="C25:E25"/>
    <mergeCell ref="F25:H25"/>
    <mergeCell ref="F20:G20"/>
    <mergeCell ref="C22:E22"/>
    <mergeCell ref="F22:H22"/>
    <mergeCell ref="K14:K15"/>
    <mergeCell ref="I15:J15"/>
    <mergeCell ref="A18:B19"/>
    <mergeCell ref="C18:E18"/>
    <mergeCell ref="F18:H18"/>
    <mergeCell ref="C19:D19"/>
    <mergeCell ref="F19:G19"/>
    <mergeCell ref="A13:B13"/>
    <mergeCell ref="D13:F13"/>
    <mergeCell ref="K7:K8"/>
    <mergeCell ref="A8:B8"/>
    <mergeCell ref="D8:F8"/>
    <mergeCell ref="A9:B9"/>
    <mergeCell ref="D9:F9"/>
    <mergeCell ref="A11:B11"/>
    <mergeCell ref="A10:B10"/>
    <mergeCell ref="D10:F10"/>
    <mergeCell ref="A1:G1"/>
    <mergeCell ref="G3:G5"/>
    <mergeCell ref="H3:H5"/>
    <mergeCell ref="I4:J5"/>
    <mergeCell ref="K10:K12"/>
    <mergeCell ref="D11:F11"/>
    <mergeCell ref="A12:B12"/>
    <mergeCell ref="D12:F12"/>
    <mergeCell ref="A119:G119"/>
    <mergeCell ref="A7:B7"/>
    <mergeCell ref="D7:F7"/>
    <mergeCell ref="I7:J8"/>
    <mergeCell ref="A102:G102"/>
    <mergeCell ref="D14:F14"/>
    <mergeCell ref="I10:J12"/>
    <mergeCell ref="A23:B23"/>
    <mergeCell ref="C23:E23"/>
    <mergeCell ref="F23:H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2010-06-16T08:12:47Z</cp:lastPrinted>
  <dcterms:created xsi:type="dcterms:W3CDTF">2009-12-21T08:51:14Z</dcterms:created>
  <dcterms:modified xsi:type="dcterms:W3CDTF">2013-02-07T12:17:08Z</dcterms:modified>
  <cp:category/>
  <cp:version/>
  <cp:contentType/>
  <cp:contentStatus/>
</cp:coreProperties>
</file>