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05" windowWidth="12855" windowHeight="9120" firstSheet="2" activeTab="2"/>
  </bookViews>
  <sheets>
    <sheet name="Чистова 5" sheetId="1" r:id="rId1"/>
    <sheet name="Б.Серпуховская 10.1" sheetId="2" r:id="rId2"/>
    <sheet name="Кирова 9" sheetId="3" r:id="rId3"/>
  </sheets>
  <definedNames/>
  <calcPr fullCalcOnLoad="1"/>
</workbook>
</file>

<file path=xl/sharedStrings.xml><?xml version="1.0" encoding="utf-8"?>
<sst xmlns="http://schemas.openxmlformats.org/spreadsheetml/2006/main" count="685" uniqueCount="278">
  <si>
    <t>Год постройки</t>
  </si>
  <si>
    <t>Этажность:</t>
  </si>
  <si>
    <t>Квартир:</t>
  </si>
  <si>
    <t>протяженость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</si>
  <si>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</si>
  <si>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</si>
  <si>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</si>
  <si>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</si>
  <si>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</si>
  <si>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</si>
  <si>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</si>
  <si>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</si>
  <si>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</si>
  <si>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мягкая</t>
  </si>
  <si>
    <t>Мусоропроводов:</t>
  </si>
  <si>
    <t>ГВС</t>
  </si>
  <si>
    <t>Ф100 -1шт</t>
  </si>
  <si>
    <t>Площадь:</t>
  </si>
  <si>
    <t>кв.м.</t>
  </si>
  <si>
    <t>Уборочная площадь:</t>
  </si>
  <si>
    <t>Ф80 - 1шт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</si>
  <si>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</si>
  <si>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</si>
  <si>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</si>
  <si>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</si>
  <si>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</si>
  <si>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</si>
  <si>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</si>
  <si>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</si>
  <si>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</si>
  <si>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</si>
  <si>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</si>
  <si>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</si>
  <si>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</si>
  <si>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</si>
  <si>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</si>
  <si>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</si>
  <si>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</si>
  <si>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</si>
  <si>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</si>
  <si>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ДОХОДЫ ДОМА ЗА ПЕРИОД  ______________</t>
  </si>
  <si>
    <t>Источники дохода</t>
  </si>
  <si>
    <t>Запланированный доход руб. (начисление по тарифу за Т\О)100%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</si>
  <si>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</si>
  <si>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</si>
  <si>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</si>
  <si>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</si>
  <si>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</si>
  <si>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начисленно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</si>
  <si>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</si>
  <si>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</si>
  <si>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</si>
  <si>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</si>
  <si>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</si>
  <si>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</si>
  <si>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</si>
  <si>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</si>
  <si>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</si>
  <si>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</si>
  <si>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</si>
  <si>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</si>
  <si>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</si>
  <si>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</si>
  <si>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 xml:space="preserve">Согласно нормативам труда по содержанию и ремонту желищного фонда. </t>
  </si>
  <si>
    <t>Утверждены Приказом Госстроя России от 09.12.99г. №  139</t>
  </si>
  <si>
    <t>Наименование работ и услуг</t>
  </si>
  <si>
    <t>Ед.Изм.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</si>
  <si>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</si>
  <si>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</si>
  <si>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</si>
  <si>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</si>
  <si>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</si>
  <si>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</si>
  <si>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</si>
  <si>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</si>
  <si>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</si>
  <si>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</si>
  <si>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Очистка от мусора и грязи кровли, козырьков на входами в подъзды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</si>
  <si>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</si>
  <si>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</si>
  <si>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</si>
  <si>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</si>
  <si>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</si>
  <si>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</si>
  <si>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</si>
  <si>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</si>
  <si>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1000м2 осматр S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</si>
  <si>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</si>
  <si>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</si>
  <si>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</si>
  <si>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</si>
  <si>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</si>
  <si>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</si>
  <si>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</si>
  <si>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</si>
  <si>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</si>
  <si>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</si>
  <si>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</si>
  <si>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</si>
  <si>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</si>
  <si>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</si>
  <si>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</si>
  <si>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</si>
  <si>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Запуск системы отопления (регулировка трёхходовых и пробковых кранов, вентилей и задвижек в технических подпольях, помещениях эливаторных узлов, бойлерных)</t>
  </si>
  <si>
    <t>Санитарное содержание</t>
  </si>
  <si>
    <t>Влажное подметание лестничных клеток и маршей нижних 3 этажей при наличии лифта и мусопровода</t>
  </si>
  <si>
    <t>Влажное подметание лестничных клеток и маршей выше 3 этажа при наличии лифта и мусопровода</t>
  </si>
  <si>
    <t>Мытьё лестничных площадок и маршей нижних 3 этажей при наличии лифта и мусоропровода</t>
  </si>
  <si>
    <t>Мытьё лестничных площадок и маршей выше 3 этажа при наличии лифта и мусоропровода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</si>
  <si>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</si>
  <si>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</si>
  <si>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</si>
  <si>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</si>
  <si>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</si>
  <si>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</si>
  <si>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</si>
  <si>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</si>
  <si>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Мусоропровод</t>
  </si>
  <si>
    <t>Удаление мусора из мусороприёмных камер</t>
  </si>
  <si>
    <t>Уборка загрузочных клапанов</t>
  </si>
  <si>
    <t>Очистка и дезинфекция всех элементов ствола мусоропровода</t>
  </si>
  <si>
    <t>п.м.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</si>
  <si>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</si>
  <si>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</si>
  <si>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</si>
  <si>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</si>
  <si>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</si>
  <si>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</si>
  <si>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Техническое обслуживание лифтов</t>
  </si>
  <si>
    <t>Вентканалы</t>
  </si>
  <si>
    <t>1 раз в год</t>
  </si>
  <si>
    <t>Дератизация и дизенсекция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</si>
  <si>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</si>
  <si>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</si>
  <si>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</si>
  <si>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</si>
  <si>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</si>
  <si>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</si>
  <si>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</si>
  <si>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</si>
  <si>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</si>
  <si>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</si>
  <si>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</si>
  <si>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</si>
  <si>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</si>
  <si>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</si>
  <si>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</si>
  <si>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</si>
  <si>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</si>
  <si>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</si>
  <si>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</si>
  <si>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</si>
  <si>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Начислено за 2006-2009 годы</t>
  </si>
  <si>
    <t>Начислено за 2010 год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</si>
  <si>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</si>
  <si>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</si>
  <si>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</si>
  <si>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</si>
  <si>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панель</t>
  </si>
  <si>
    <t>1/1</t>
  </si>
  <si>
    <t>Ф100 -2шт</t>
  </si>
  <si>
    <t>кирпич</t>
  </si>
  <si>
    <t>0</t>
  </si>
  <si>
    <t>отчет по затратам на содержание и ремонт общего имущества многоквартирного дома по адресу: Б.Серпуховская 10/1 за 2010 год</t>
  </si>
  <si>
    <t>шифер</t>
  </si>
  <si>
    <t>Ф80-4шт</t>
  </si>
  <si>
    <t>вентиль - 51шт</t>
  </si>
  <si>
    <t>кран - 51шт</t>
  </si>
  <si>
    <t>вентиль -12шт</t>
  </si>
  <si>
    <t>кран  -12шт</t>
  </si>
  <si>
    <t>вентиль-12шт</t>
  </si>
  <si>
    <t>кран-12шт</t>
  </si>
  <si>
    <t>Подготовка к сезонной эксплуатации (слив и наполнение водой системы ЦО)</t>
  </si>
  <si>
    <t>Ф80-2шт</t>
  </si>
  <si>
    <t>вентиль -     шт</t>
  </si>
  <si>
    <t>кран  -      шт</t>
  </si>
  <si>
    <t xml:space="preserve">Влажное подметание лестничных клеток и маршей нижних 3 этажей </t>
  </si>
  <si>
    <t xml:space="preserve">Мытьё лестничных площадок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</si>
  <si>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</si>
  <si>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</si>
  <si>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</si>
  <si>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вентиль -2щт</t>
  </si>
  <si>
    <t>отчет по затратам на содержание и ремонт общего имущества многоквартирного дома по адресу: Чистова 3 за 2010 год</t>
  </si>
  <si>
    <t>вентиль-  2   шт</t>
  </si>
  <si>
    <t>Ф100-18шт</t>
  </si>
  <si>
    <t>вентиль - 24шт</t>
  </si>
  <si>
    <t>кран - 50шт</t>
  </si>
  <si>
    <t>вентиль -13шт</t>
  </si>
  <si>
    <t>кран  -28шт</t>
  </si>
  <si>
    <t>кран-22шт</t>
  </si>
  <si>
    <t>вентиль-8шт</t>
  </si>
  <si>
    <t xml:space="preserve">Ф100 ;Ф50 чуг  </t>
  </si>
  <si>
    <t>ЯНВАРЬ</t>
  </si>
  <si>
    <t>шт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</si>
  <si>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</si>
  <si>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</si>
  <si>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</si>
  <si>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</si>
  <si>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</si>
  <si>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</si>
  <si>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</si>
  <si>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</si>
  <si>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</si>
  <si>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</si>
  <si>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</si>
  <si>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</si>
  <si>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</si>
  <si>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</si>
  <si>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</si>
  <si>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</si>
  <si>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</si>
  <si>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</si>
  <si>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</si>
  <si>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</si>
  <si>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</si>
  <si>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м</t>
  </si>
  <si>
    <t>ИТОГО за НОЯБРЬ</t>
  </si>
  <si>
    <t>ДЕКАБРЬ</t>
  </si>
  <si>
    <t>ИТОГО за ДЕКАБРЬ</t>
  </si>
  <si>
    <t>Начислено за 2006-2010 годы</t>
  </si>
  <si>
    <t>кг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</si>
  <si>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</si>
  <si>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</si>
  <si>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</si>
  <si>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</si>
  <si>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</si>
  <si>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</si>
  <si>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</si>
  <si>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</si>
  <si>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Влажное подметание мусороуборочных камер</t>
  </si>
  <si>
    <t>Дератизация и дезинсекция</t>
  </si>
  <si>
    <t>РАЗНОЕ(лампочки, остекление и др.)</t>
  </si>
  <si>
    <t>ООО "ЭО Русь" измерение сопротивления "фаза-нуль"</t>
  </si>
  <si>
    <t>ООО "ЭО Русь" техосвидетельствование лифтов</t>
  </si>
  <si>
    <t>ИТОГО за ГОД</t>
  </si>
  <si>
    <t>отчет по затратам на содержание и ремонт общего имущества многоквартирного дома по адресу: ул. Кирова, д. 9 за 2012 год</t>
  </si>
  <si>
    <t>Начислено за 2012 год</t>
  </si>
  <si>
    <t>фланец ст. Д=100мм(хвс)</t>
  </si>
  <si>
    <t>задвижка Д=100 мм(хвс)</t>
  </si>
  <si>
    <t xml:space="preserve">замок навесной </t>
  </si>
  <si>
    <t>сгон Д=15 L=115мм(гвс)</t>
  </si>
  <si>
    <t>контр-гайка Д=15мм(гвс)</t>
  </si>
  <si>
    <t>муфта соед.Д=15 мм(гвс)</t>
  </si>
  <si>
    <t>кран шар. Д=15 мм(цо)</t>
  </si>
  <si>
    <t xml:space="preserve">резьба Д=15 мм(цо) </t>
  </si>
  <si>
    <t>патрон  подвесной Е-27</t>
  </si>
  <si>
    <t>стекло 4*2550*1605</t>
  </si>
  <si>
    <t>сгон Д=15 l=130  мм(хвс)</t>
  </si>
  <si>
    <t>сгон Д=15 l=130  мм(гвс)</t>
  </si>
  <si>
    <t>краска белая</t>
  </si>
  <si>
    <t>лампа накал.40В</t>
  </si>
  <si>
    <t>эмаль ПФ-115(желто-коричн)</t>
  </si>
  <si>
    <t>ревизия Д=110мм ПВХ</t>
  </si>
  <si>
    <t>патрубок компенс Д=110мм ПВХ(кз)</t>
  </si>
  <si>
    <t>манжета перех. Д=123*110(кз) чуг.-пласт.</t>
  </si>
  <si>
    <t xml:space="preserve"> переход Д=123*110(кз) чуг.-пласт.</t>
  </si>
  <si>
    <t>труба ПВХ Д=110 мм  (кз)</t>
  </si>
  <si>
    <t>задвижка фланц. Чугун Д=100 мм(хвс)</t>
  </si>
  <si>
    <t>бочата черн. ДУ 15 мм</t>
  </si>
  <si>
    <t>фильтр сет. ДУ 15 мм</t>
  </si>
  <si>
    <t xml:space="preserve">патрон монтаж. </t>
  </si>
  <si>
    <t>стекло окон. 3мм(1,3*1,6)</t>
  </si>
  <si>
    <t>тройник Д=15*25 мм(гвс)</t>
  </si>
  <si>
    <t>тройник Д=15мм(гвс)</t>
  </si>
  <si>
    <t>нипель Д=26*25мм(гвс)</t>
  </si>
  <si>
    <t>труба ВГП Д=15*2,8мм(гвс)</t>
  </si>
  <si>
    <t>сгон 15 мм черн(гвс).</t>
  </si>
  <si>
    <t>муфта ДУ 20 черн(гвс).</t>
  </si>
  <si>
    <t>контргайка ДУ 15 черн(гвс).</t>
  </si>
  <si>
    <t>контргайка ДУ 15 мм черн (гвс)</t>
  </si>
  <si>
    <t>сгон Д=15 мм черн(гвс)</t>
  </si>
  <si>
    <t>муфта ДУ 15 мм черн(цо).</t>
  </si>
  <si>
    <t>сгон 50 мм черн(гвс).</t>
  </si>
  <si>
    <t>муфта ДУ 15 черн(гвс).</t>
  </si>
  <si>
    <t>кран шар. Д=15мм (гвс)</t>
  </si>
  <si>
    <t>кран шар. Д=25мм (гвс)</t>
  </si>
  <si>
    <t>кран шар. Д=32мм (гвс)</t>
  </si>
  <si>
    <t>ДОХОДЫ ДОМА ЗА ПЕРИОД  __2012 год____________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</si>
</sst>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1" fontId="9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Fill="1" applyBorder="1" applyAlignment="1">
      <alignment horizontal="center" wrapText="1"/>
    </xf>
    <xf numFmtId="166" fontId="9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0" fontId="1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5" fillId="0" borderId="14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9" fillId="0" borderId="14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2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3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85" t="s">
        <v>182</v>
      </c>
      <c r="B1" s="85"/>
      <c r="C1" s="85"/>
      <c r="D1" s="85"/>
      <c r="E1" s="85"/>
      <c r="F1" s="85"/>
      <c r="G1" s="85"/>
      <c r="I1"/>
    </row>
    <row r="2" spans="1:12" ht="12.75">
      <c r="A2" t="s">
        <v>0</v>
      </c>
      <c r="C2">
        <v>1954</v>
      </c>
      <c r="D2" t="s">
        <v>1</v>
      </c>
      <c r="F2">
        <v>4</v>
      </c>
      <c r="G2" t="s">
        <v>2</v>
      </c>
      <c r="H2" s="34">
        <v>29</v>
      </c>
      <c r="I2" s="2"/>
      <c r="J2" s="3" t="s">
        <v>3</v>
      </c>
      <c r="K2" s="2" t="s">
        <v>4</v>
      </c>
      <c r="L2" s="3" t="s">
        <v>5</v>
      </c>
    </row>
    <row r="3" spans="1:12" ht="12.75">
      <c r="A3" t="s">
        <v>6</v>
      </c>
      <c r="C3">
        <v>40</v>
      </c>
      <c r="D3" t="s">
        <v>7</v>
      </c>
      <c r="F3">
        <v>3</v>
      </c>
      <c r="G3" s="86" t="s">
        <v>8</v>
      </c>
      <c r="H3" s="89">
        <v>0</v>
      </c>
      <c r="I3" s="2" t="s">
        <v>9</v>
      </c>
      <c r="J3" s="2">
        <v>277.8</v>
      </c>
      <c r="K3" s="59" t="s">
        <v>173</v>
      </c>
      <c r="L3" s="61" t="s">
        <v>181</v>
      </c>
    </row>
    <row r="4" spans="1:12" ht="12.75">
      <c r="A4" t="s">
        <v>10</v>
      </c>
      <c r="C4" t="s">
        <v>161</v>
      </c>
      <c r="D4" t="s">
        <v>11</v>
      </c>
      <c r="F4" s="49" t="s">
        <v>162</v>
      </c>
      <c r="G4" s="87"/>
      <c r="H4" s="90"/>
      <c r="I4" s="92"/>
      <c r="J4" s="93"/>
      <c r="K4" s="59"/>
      <c r="L4" s="59"/>
    </row>
    <row r="5" spans="1:12" ht="12.75">
      <c r="A5" t="s">
        <v>12</v>
      </c>
      <c r="C5" t="s">
        <v>164</v>
      </c>
      <c r="D5" t="s">
        <v>14</v>
      </c>
      <c r="F5">
        <v>0</v>
      </c>
      <c r="G5" s="88"/>
      <c r="H5" s="91"/>
      <c r="I5" s="94"/>
      <c r="J5" s="95"/>
      <c r="K5" s="59"/>
      <c r="L5" s="60"/>
    </row>
    <row r="6" spans="9:12" ht="12.75">
      <c r="I6" s="2" t="s">
        <v>15</v>
      </c>
      <c r="J6" s="2">
        <v>0</v>
      </c>
      <c r="K6" s="60"/>
      <c r="L6" s="61" t="s">
        <v>174</v>
      </c>
    </row>
    <row r="7" spans="1:12" ht="12.75">
      <c r="A7" s="82" t="s">
        <v>17</v>
      </c>
      <c r="B7" s="84"/>
      <c r="C7" s="1" t="s">
        <v>18</v>
      </c>
      <c r="D7" s="82" t="s">
        <v>19</v>
      </c>
      <c r="E7" s="83"/>
      <c r="F7" s="84"/>
      <c r="G7" s="1" t="s">
        <v>18</v>
      </c>
      <c r="I7" s="92"/>
      <c r="J7" s="93"/>
      <c r="K7" s="79"/>
      <c r="L7" s="59" t="s">
        <v>175</v>
      </c>
    </row>
    <row r="8" spans="1:12" ht="12.75">
      <c r="A8" s="81" t="s">
        <v>21</v>
      </c>
      <c r="B8" s="81"/>
      <c r="C8">
        <v>2179.7</v>
      </c>
      <c r="D8" s="82" t="s">
        <v>22</v>
      </c>
      <c r="E8" s="83"/>
      <c r="F8" s="84"/>
      <c r="G8" s="50">
        <v>321.5</v>
      </c>
      <c r="I8" s="94"/>
      <c r="J8" s="95"/>
      <c r="K8" s="80"/>
      <c r="L8" s="59"/>
    </row>
    <row r="9" spans="1:12" ht="12.75">
      <c r="A9" s="81" t="s">
        <v>23</v>
      </c>
      <c r="B9" s="81"/>
      <c r="C9">
        <v>1093.5</v>
      </c>
      <c r="D9" s="82" t="s">
        <v>24</v>
      </c>
      <c r="E9" s="83"/>
      <c r="F9" s="84"/>
      <c r="G9" s="6">
        <v>1660.8</v>
      </c>
      <c r="I9" s="2" t="s">
        <v>25</v>
      </c>
      <c r="J9" s="2">
        <v>139</v>
      </c>
      <c r="K9" s="59"/>
      <c r="L9" s="59" t="s">
        <v>183</v>
      </c>
    </row>
    <row r="10" spans="1:12" ht="12.75">
      <c r="A10" s="81" t="s">
        <v>26</v>
      </c>
      <c r="B10" s="81"/>
      <c r="C10" s="50">
        <v>323.5</v>
      </c>
      <c r="D10" s="82" t="s">
        <v>27</v>
      </c>
      <c r="E10" s="83"/>
      <c r="F10" s="84"/>
      <c r="G10">
        <v>760</v>
      </c>
      <c r="I10" s="96"/>
      <c r="J10" s="96"/>
      <c r="K10" s="79"/>
      <c r="L10" s="59"/>
    </row>
    <row r="11" spans="1:12" ht="12.75" customHeight="1">
      <c r="A11" s="81" t="s">
        <v>28</v>
      </c>
      <c r="B11" s="81"/>
      <c r="C11">
        <v>770</v>
      </c>
      <c r="D11" s="82" t="s">
        <v>29</v>
      </c>
      <c r="E11" s="83"/>
      <c r="F11" s="84"/>
      <c r="G11">
        <v>0</v>
      </c>
      <c r="I11" s="96"/>
      <c r="J11" s="96"/>
      <c r="K11" s="78"/>
      <c r="L11" s="59"/>
    </row>
    <row r="12" spans="1:12" ht="12.75">
      <c r="A12" s="81" t="s">
        <v>30</v>
      </c>
      <c r="B12" s="81"/>
      <c r="C12" s="7">
        <v>513</v>
      </c>
      <c r="D12" s="82" t="s">
        <v>31</v>
      </c>
      <c r="E12" s="83"/>
      <c r="F12" s="84"/>
      <c r="G12">
        <v>621</v>
      </c>
      <c r="I12" s="96"/>
      <c r="J12" s="96"/>
      <c r="K12" s="78"/>
      <c r="L12" s="59"/>
    </row>
    <row r="13" spans="1:12" ht="12.75">
      <c r="A13" s="74" t="s">
        <v>32</v>
      </c>
      <c r="B13" s="74"/>
      <c r="C13" s="7">
        <v>1001</v>
      </c>
      <c r="D13" s="82" t="s">
        <v>33</v>
      </c>
      <c r="E13" s="83"/>
      <c r="F13" s="84"/>
      <c r="G13">
        <v>550</v>
      </c>
      <c r="I13" s="5"/>
      <c r="J13" s="2" t="s">
        <v>3</v>
      </c>
      <c r="K13" s="62" t="s">
        <v>34</v>
      </c>
      <c r="L13" s="62" t="s">
        <v>35</v>
      </c>
    </row>
    <row r="14" spans="4:12" ht="12.75">
      <c r="D14" s="82" t="s">
        <v>36</v>
      </c>
      <c r="E14" s="83"/>
      <c r="F14" s="84"/>
      <c r="G14" s="9">
        <v>110</v>
      </c>
      <c r="I14" s="2" t="s">
        <v>37</v>
      </c>
      <c r="J14" s="10">
        <v>138</v>
      </c>
      <c r="K14" s="97" t="s">
        <v>38</v>
      </c>
      <c r="L14" s="3"/>
    </row>
    <row r="15" spans="6:12" ht="12.75">
      <c r="F15" s="11" t="s">
        <v>39</v>
      </c>
      <c r="G15" s="12">
        <v>19.9</v>
      </c>
      <c r="I15" s="99"/>
      <c r="J15" s="100"/>
      <c r="K15" s="98"/>
      <c r="L15" s="3"/>
    </row>
    <row r="16" ht="12.75">
      <c r="B16" t="s">
        <v>40</v>
      </c>
    </row>
    <row r="18" spans="1:9" ht="39.75" customHeight="1">
      <c r="A18" s="101" t="s">
        <v>41</v>
      </c>
      <c r="B18" s="101"/>
      <c r="C18" s="74" t="s">
        <v>42</v>
      </c>
      <c r="D18" s="74"/>
      <c r="E18" s="74"/>
      <c r="F18" s="76" t="s">
        <v>43</v>
      </c>
      <c r="G18" s="102"/>
      <c r="H18" s="77"/>
      <c r="I18" s="13"/>
    </row>
    <row r="19" spans="1:8" ht="31.5" customHeight="1">
      <c r="A19" s="101"/>
      <c r="B19" s="101"/>
      <c r="C19" s="76" t="s">
        <v>44</v>
      </c>
      <c r="D19" s="77"/>
      <c r="E19" s="14" t="s">
        <v>45</v>
      </c>
      <c r="F19" s="76" t="s">
        <v>44</v>
      </c>
      <c r="G19" s="77"/>
      <c r="H19" s="35" t="s">
        <v>46</v>
      </c>
    </row>
    <row r="20" spans="1:8" ht="25.5" customHeight="1">
      <c r="A20" s="103" t="s">
        <v>47</v>
      </c>
      <c r="B20" s="103"/>
      <c r="C20" s="104">
        <f>C8*12*G15</f>
        <v>520512.3599999999</v>
      </c>
      <c r="D20" s="105"/>
      <c r="E20" s="16">
        <f>C9*1.18*12</f>
        <v>15483.96</v>
      </c>
      <c r="F20" s="104">
        <f>SUM(F23:H34)</f>
        <v>0</v>
      </c>
      <c r="G20" s="105"/>
      <c r="H20" s="31"/>
    </row>
    <row r="21" spans="1:8" ht="12.75">
      <c r="A21" s="17"/>
      <c r="B21" s="17"/>
      <c r="C21" s="18"/>
      <c r="D21" s="18"/>
      <c r="E21" s="18"/>
      <c r="F21" s="18"/>
      <c r="G21" s="18"/>
      <c r="H21" s="36"/>
    </row>
    <row r="22" spans="1:9" ht="12.75">
      <c r="A22" s="15"/>
      <c r="B22" s="19"/>
      <c r="C22" s="74" t="s">
        <v>48</v>
      </c>
      <c r="D22" s="74"/>
      <c r="E22" s="74"/>
      <c r="F22" s="75" t="s">
        <v>49</v>
      </c>
      <c r="G22" s="75"/>
      <c r="H22" s="75"/>
      <c r="I22" s="16" t="s">
        <v>46</v>
      </c>
    </row>
    <row r="23" spans="1:9" ht="12.75">
      <c r="A23" s="74" t="s">
        <v>50</v>
      </c>
      <c r="B23" s="74"/>
      <c r="C23" s="75">
        <f>(C20+E20)/12</f>
        <v>44666.35999999999</v>
      </c>
      <c r="D23" s="75"/>
      <c r="E23" s="75"/>
      <c r="F23" s="75">
        <v>0</v>
      </c>
      <c r="G23" s="75"/>
      <c r="H23" s="75"/>
      <c r="I23" s="38"/>
    </row>
    <row r="24" spans="1:9" ht="12.75">
      <c r="A24" s="74" t="s">
        <v>51</v>
      </c>
      <c r="B24" s="74"/>
      <c r="C24" s="75">
        <f>(C20+E20)/12</f>
        <v>44666.35999999999</v>
      </c>
      <c r="D24" s="75"/>
      <c r="E24" s="75"/>
      <c r="F24" s="75">
        <f>C24*I24</f>
        <v>0</v>
      </c>
      <c r="G24" s="75"/>
      <c r="H24" s="75"/>
      <c r="I24" s="38"/>
    </row>
    <row r="25" spans="1:9" ht="12.75">
      <c r="A25" s="74" t="s">
        <v>52</v>
      </c>
      <c r="B25" s="74"/>
      <c r="C25" s="75">
        <f>(C20+E20)/12</f>
        <v>44666.35999999999</v>
      </c>
      <c r="D25" s="75"/>
      <c r="E25" s="75"/>
      <c r="F25" s="75">
        <f>C25*I25</f>
        <v>0</v>
      </c>
      <c r="G25" s="75"/>
      <c r="H25" s="75"/>
      <c r="I25" s="38"/>
    </row>
    <row r="26" spans="1:9" ht="12.75">
      <c r="A26" s="74" t="s">
        <v>53</v>
      </c>
      <c r="B26" s="74"/>
      <c r="C26" s="75">
        <f>(C20+E20)/12</f>
        <v>44666.35999999999</v>
      </c>
      <c r="D26" s="75"/>
      <c r="E26" s="75"/>
      <c r="F26" s="75">
        <f>C26*I26</f>
        <v>0</v>
      </c>
      <c r="G26" s="75"/>
      <c r="H26" s="75"/>
      <c r="I26" s="38"/>
    </row>
    <row r="27" spans="1:9" ht="12.75">
      <c r="A27" s="74" t="s">
        <v>54</v>
      </c>
      <c r="B27" s="74"/>
      <c r="C27" s="75">
        <f>(C20+E20)/12</f>
        <v>44666.35999999999</v>
      </c>
      <c r="D27" s="75"/>
      <c r="E27" s="75"/>
      <c r="F27" s="75">
        <f aca="true" t="shared" si="0" ref="F27:F34">C27*I27</f>
        <v>0</v>
      </c>
      <c r="G27" s="75"/>
      <c r="H27" s="75"/>
      <c r="I27" s="38"/>
    </row>
    <row r="28" spans="1:9" ht="12.75">
      <c r="A28" s="74" t="s">
        <v>55</v>
      </c>
      <c r="B28" s="74"/>
      <c r="C28" s="75">
        <f>(C20+E20)/12</f>
        <v>44666.35999999999</v>
      </c>
      <c r="D28" s="75"/>
      <c r="E28" s="75"/>
      <c r="F28" s="75">
        <f t="shared" si="0"/>
        <v>0</v>
      </c>
      <c r="G28" s="75"/>
      <c r="H28" s="75"/>
      <c r="I28" s="38"/>
    </row>
    <row r="29" spans="1:9" ht="12.75">
      <c r="A29" s="74" t="s">
        <v>56</v>
      </c>
      <c r="B29" s="74"/>
      <c r="C29" s="75">
        <f>(C20+E20)/12</f>
        <v>44666.35999999999</v>
      </c>
      <c r="D29" s="75"/>
      <c r="E29" s="75"/>
      <c r="F29" s="75">
        <f t="shared" si="0"/>
        <v>0</v>
      </c>
      <c r="G29" s="75"/>
      <c r="H29" s="75"/>
      <c r="I29" s="38"/>
    </row>
    <row r="30" spans="1:9" ht="12.75">
      <c r="A30" s="74" t="s">
        <v>57</v>
      </c>
      <c r="B30" s="74"/>
      <c r="C30" s="75">
        <f>(C20+E20)/12</f>
        <v>44666.35999999999</v>
      </c>
      <c r="D30" s="75"/>
      <c r="E30" s="75"/>
      <c r="F30" s="75">
        <f t="shared" si="0"/>
        <v>0</v>
      </c>
      <c r="G30" s="75"/>
      <c r="H30" s="75"/>
      <c r="I30" s="38"/>
    </row>
    <row r="31" spans="1:9" ht="12.75">
      <c r="A31" s="74" t="s">
        <v>58</v>
      </c>
      <c r="B31" s="74"/>
      <c r="C31" s="75">
        <f>(C20+E20)/12</f>
        <v>44666.35999999999</v>
      </c>
      <c r="D31" s="75"/>
      <c r="E31" s="75"/>
      <c r="F31" s="75">
        <f t="shared" si="0"/>
        <v>0</v>
      </c>
      <c r="G31" s="75"/>
      <c r="H31" s="75"/>
      <c r="I31" s="38"/>
    </row>
    <row r="32" spans="1:9" ht="12.75">
      <c r="A32" s="74" t="s">
        <v>59</v>
      </c>
      <c r="B32" s="74"/>
      <c r="C32" s="75">
        <f>(C20+E20)/12</f>
        <v>44666.35999999999</v>
      </c>
      <c r="D32" s="75"/>
      <c r="E32" s="75"/>
      <c r="F32" s="75">
        <f t="shared" si="0"/>
        <v>0</v>
      </c>
      <c r="G32" s="75"/>
      <c r="H32" s="75"/>
      <c r="I32" s="38"/>
    </row>
    <row r="33" spans="1:9" ht="12.75">
      <c r="A33" s="74" t="s">
        <v>60</v>
      </c>
      <c r="B33" s="74"/>
      <c r="C33" s="75">
        <f>(C20+E20)/12</f>
        <v>44666.35999999999</v>
      </c>
      <c r="D33" s="75"/>
      <c r="E33" s="75"/>
      <c r="F33" s="75">
        <f t="shared" si="0"/>
        <v>0</v>
      </c>
      <c r="G33" s="75"/>
      <c r="H33" s="75"/>
      <c r="I33" s="38"/>
    </row>
    <row r="34" spans="1:9" ht="12.75">
      <c r="A34" s="74" t="s">
        <v>61</v>
      </c>
      <c r="B34" s="74"/>
      <c r="C34" s="75">
        <f>(C20+E20)/12</f>
        <v>44666.35999999999</v>
      </c>
      <c r="D34" s="75"/>
      <c r="E34" s="75"/>
      <c r="F34" s="75">
        <f t="shared" si="0"/>
        <v>0</v>
      </c>
      <c r="G34" s="75"/>
      <c r="H34" s="75"/>
      <c r="I34" s="38"/>
    </row>
    <row r="35" spans="1:8" ht="12.75">
      <c r="A35" s="20"/>
      <c r="B35" s="20"/>
      <c r="C35" s="18"/>
      <c r="D35" s="18"/>
      <c r="E35" s="18"/>
      <c r="F35" s="18"/>
      <c r="G35" s="18"/>
      <c r="H35" s="36"/>
    </row>
    <row r="36" spans="1:10" ht="12.75">
      <c r="A36" s="108" t="s">
        <v>62</v>
      </c>
      <c r="B36" s="108"/>
      <c r="C36" s="108"/>
      <c r="D36" s="109" t="s">
        <v>63</v>
      </c>
      <c r="E36" s="109"/>
      <c r="F36" s="109"/>
      <c r="G36" s="109"/>
      <c r="H36" s="109"/>
      <c r="I36" s="109"/>
      <c r="J36" s="109"/>
    </row>
    <row r="37" spans="6:10" ht="12.75">
      <c r="F37" s="110" t="s">
        <v>64</v>
      </c>
      <c r="G37" s="110"/>
      <c r="H37" s="110"/>
      <c r="I37" s="110"/>
      <c r="J37" s="110"/>
    </row>
    <row r="38" spans="1:11" ht="36" customHeight="1">
      <c r="A38" s="106" t="s">
        <v>65</v>
      </c>
      <c r="B38" s="106"/>
      <c r="C38" s="106"/>
      <c r="D38" s="106"/>
      <c r="E38" s="106" t="s">
        <v>66</v>
      </c>
      <c r="F38" s="74" t="s">
        <v>67</v>
      </c>
      <c r="G38" s="74"/>
      <c r="H38" s="111" t="s">
        <v>68</v>
      </c>
      <c r="I38" s="74" t="s">
        <v>69</v>
      </c>
      <c r="J38" s="74" t="s">
        <v>70</v>
      </c>
      <c r="K38" s="21"/>
    </row>
    <row r="39" spans="1:11" ht="51" customHeight="1">
      <c r="A39" s="106"/>
      <c r="B39" s="106"/>
      <c r="C39" s="106"/>
      <c r="D39" s="106"/>
      <c r="E39" s="106"/>
      <c r="F39" s="19" t="s">
        <v>71</v>
      </c>
      <c r="G39" s="14" t="s">
        <v>72</v>
      </c>
      <c r="H39" s="111"/>
      <c r="I39" s="74"/>
      <c r="J39" s="74"/>
      <c r="K39" s="21"/>
    </row>
    <row r="40" spans="1:10" s="24" customFormat="1" ht="12.75">
      <c r="A40" s="107" t="s">
        <v>44</v>
      </c>
      <c r="B40" s="107"/>
      <c r="C40" s="107"/>
      <c r="D40" s="107"/>
      <c r="E40" s="15"/>
      <c r="F40" s="22"/>
      <c r="G40" s="15"/>
      <c r="H40" s="37"/>
      <c r="I40" s="8"/>
      <c r="J40" s="23"/>
    </row>
    <row r="41" spans="1:10" s="24" customFormat="1" ht="12.75">
      <c r="A41" s="107" t="s">
        <v>73</v>
      </c>
      <c r="B41" s="107"/>
      <c r="C41" s="107"/>
      <c r="D41" s="107"/>
      <c r="E41" s="15"/>
      <c r="F41" s="22"/>
      <c r="G41" s="15"/>
      <c r="H41" s="27"/>
      <c r="I41" s="8"/>
      <c r="J41" s="23"/>
    </row>
    <row r="42" spans="1:11" s="24" customFormat="1" ht="12.75" customHeight="1">
      <c r="A42" s="103" t="s">
        <v>79</v>
      </c>
      <c r="B42" s="103"/>
      <c r="C42" s="103"/>
      <c r="D42" s="103"/>
      <c r="E42" s="15" t="s">
        <v>75</v>
      </c>
      <c r="F42" s="22">
        <f>C11+C12</f>
        <v>1283</v>
      </c>
      <c r="G42" s="8">
        <v>2</v>
      </c>
      <c r="H42" s="27">
        <v>0.012</v>
      </c>
      <c r="I42" s="25">
        <f>9716.67/21/8</f>
        <v>57.83732142857143</v>
      </c>
      <c r="J42" s="23">
        <f>F42*H42*I42*G42</f>
        <v>1780.9268014285715</v>
      </c>
      <c r="K42" s="26"/>
    </row>
    <row r="43" spans="1:11" s="24" customFormat="1" ht="26.25" customHeight="1">
      <c r="A43" s="103" t="s">
        <v>80</v>
      </c>
      <c r="B43" s="103"/>
      <c r="C43" s="103"/>
      <c r="D43" s="103"/>
      <c r="E43" s="15" t="s">
        <v>75</v>
      </c>
      <c r="F43" s="22">
        <f>C8</f>
        <v>2179.7</v>
      </c>
      <c r="G43" s="8">
        <v>2</v>
      </c>
      <c r="H43" s="27">
        <v>0.024</v>
      </c>
      <c r="I43" s="25">
        <f>9716.67/21/8</f>
        <v>57.83732142857143</v>
      </c>
      <c r="J43" s="23">
        <f>F43*H43*I43*G43</f>
        <v>6051.264456857142</v>
      </c>
      <c r="K43" s="26"/>
    </row>
    <row r="44" spans="1:11" s="24" customFormat="1" ht="12.75" customHeight="1">
      <c r="A44" s="112" t="s">
        <v>81</v>
      </c>
      <c r="B44" s="112"/>
      <c r="C44" s="112"/>
      <c r="D44" s="112"/>
      <c r="E44" s="15"/>
      <c r="F44" s="22"/>
      <c r="G44" s="8"/>
      <c r="H44" s="27"/>
      <c r="I44" s="25"/>
      <c r="J44" s="23">
        <f>SUM(J42:J43)</f>
        <v>7832.191258285714</v>
      </c>
      <c r="K44" s="26"/>
    </row>
    <row r="45" spans="1:11" s="24" customFormat="1" ht="12.75" customHeight="1">
      <c r="A45" s="107" t="s">
        <v>82</v>
      </c>
      <c r="B45" s="107"/>
      <c r="C45" s="107"/>
      <c r="D45" s="107"/>
      <c r="E45" s="15"/>
      <c r="F45" s="22"/>
      <c r="G45" s="8"/>
      <c r="H45" s="27"/>
      <c r="I45" s="25"/>
      <c r="J45" s="23"/>
      <c r="K45" s="26"/>
    </row>
    <row r="46" spans="1:11" s="24" customFormat="1" ht="26.25" customHeight="1">
      <c r="A46" s="103" t="s">
        <v>89</v>
      </c>
      <c r="B46" s="103"/>
      <c r="C46" s="103"/>
      <c r="D46" s="103"/>
      <c r="E46" s="15" t="s">
        <v>90</v>
      </c>
      <c r="F46" s="22">
        <f>F3</f>
        <v>3</v>
      </c>
      <c r="G46" s="8">
        <v>2</v>
      </c>
      <c r="H46" s="27">
        <v>0.5</v>
      </c>
      <c r="I46" s="25">
        <f>9716.67/21/8</f>
        <v>57.83732142857143</v>
      </c>
      <c r="J46" s="23">
        <f>F46*H46*I46*G46</f>
        <v>173.51196428571427</v>
      </c>
      <c r="K46" s="26"/>
    </row>
    <row r="47" spans="1:11" s="24" customFormat="1" ht="39.75" customHeight="1">
      <c r="A47" s="103" t="s">
        <v>91</v>
      </c>
      <c r="B47" s="103"/>
      <c r="C47" s="103"/>
      <c r="D47" s="103"/>
      <c r="E47" s="15" t="s">
        <v>92</v>
      </c>
      <c r="F47" s="27">
        <f>J3/100</f>
        <v>2.778</v>
      </c>
      <c r="G47" s="8">
        <v>1</v>
      </c>
      <c r="H47" s="27">
        <v>1.42</v>
      </c>
      <c r="I47" s="25">
        <f>9716.67/21/8</f>
        <v>57.83732142857143</v>
      </c>
      <c r="J47" s="23">
        <f>F47*H47*I47*G47</f>
        <v>228.15435207857143</v>
      </c>
      <c r="K47" s="26"/>
    </row>
    <row r="48" spans="1:11" s="24" customFormat="1" ht="26.25" customHeight="1">
      <c r="A48" s="103" t="s">
        <v>93</v>
      </c>
      <c r="B48" s="103"/>
      <c r="C48" s="103"/>
      <c r="D48" s="103"/>
      <c r="E48" s="15" t="s">
        <v>92</v>
      </c>
      <c r="F48" s="53">
        <f>J3/100</f>
        <v>2.778</v>
      </c>
      <c r="G48" s="8">
        <v>1</v>
      </c>
      <c r="H48" s="27">
        <v>1.42</v>
      </c>
      <c r="I48" s="25">
        <f>9716.67/21/8</f>
        <v>57.83732142857143</v>
      </c>
      <c r="J48" s="23">
        <f>F48*H48*I48*G48</f>
        <v>228.15435207857143</v>
      </c>
      <c r="K48" s="26"/>
    </row>
    <row r="49" spans="1:11" s="24" customFormat="1" ht="26.25" customHeight="1">
      <c r="A49" s="103" t="s">
        <v>100</v>
      </c>
      <c r="B49" s="103"/>
      <c r="C49" s="103"/>
      <c r="D49" s="103"/>
      <c r="E49" s="15" t="s">
        <v>96</v>
      </c>
      <c r="F49" s="27">
        <f>J3/100</f>
        <v>2.778</v>
      </c>
      <c r="G49" s="8">
        <v>1</v>
      </c>
      <c r="H49" s="27">
        <v>3.3</v>
      </c>
      <c r="I49" s="25">
        <f>9716.67/21/8</f>
        <v>57.83732142857143</v>
      </c>
      <c r="J49" s="23">
        <f>F49*H49*I49*G49</f>
        <v>530.2178604642856</v>
      </c>
      <c r="K49" s="26"/>
    </row>
    <row r="50" spans="1:11" s="24" customFormat="1" ht="50.25" customHeight="1">
      <c r="A50" s="103" t="s">
        <v>103</v>
      </c>
      <c r="B50" s="103"/>
      <c r="C50" s="103"/>
      <c r="D50" s="103"/>
      <c r="E50" s="15" t="s">
        <v>84</v>
      </c>
      <c r="F50" s="27">
        <f>C9/1000</f>
        <v>1.0935</v>
      </c>
      <c r="G50" s="8">
        <v>1</v>
      </c>
      <c r="H50" s="27">
        <v>10</v>
      </c>
      <c r="I50" s="25">
        <f>9716.67/21/8</f>
        <v>57.83732142857143</v>
      </c>
      <c r="J50" s="23">
        <f>F50*H50*I50*G50</f>
        <v>632.4511098214285</v>
      </c>
      <c r="K50" s="26"/>
    </row>
    <row r="51" spans="1:11" s="24" customFormat="1" ht="12.75" customHeight="1">
      <c r="A51" s="103" t="s">
        <v>81</v>
      </c>
      <c r="B51" s="103"/>
      <c r="C51" s="103"/>
      <c r="D51" s="103"/>
      <c r="E51" s="15"/>
      <c r="F51" s="22"/>
      <c r="G51" s="8"/>
      <c r="H51" s="27"/>
      <c r="I51" s="8"/>
      <c r="J51" s="23">
        <f>SUM(J46:J50)</f>
        <v>1792.4896387285712</v>
      </c>
      <c r="K51" s="26"/>
    </row>
    <row r="52" spans="1:11" s="24" customFormat="1" ht="12.75" customHeight="1">
      <c r="A52" s="107" t="s">
        <v>104</v>
      </c>
      <c r="B52" s="107"/>
      <c r="C52" s="107"/>
      <c r="D52" s="107"/>
      <c r="E52" s="15"/>
      <c r="F52" s="22"/>
      <c r="G52" s="8"/>
      <c r="H52" s="27"/>
      <c r="I52" s="8"/>
      <c r="J52" s="23"/>
      <c r="K52" s="26"/>
    </row>
    <row r="53" spans="1:11" s="24" customFormat="1" ht="23.25" customHeight="1">
      <c r="A53" s="103" t="s">
        <v>176</v>
      </c>
      <c r="B53" s="103"/>
      <c r="C53" s="103"/>
      <c r="D53" s="103"/>
      <c r="E53" s="15" t="s">
        <v>75</v>
      </c>
      <c r="F53" s="27">
        <f>G8/F2*3</f>
        <v>241.125</v>
      </c>
      <c r="G53" s="8">
        <v>365</v>
      </c>
      <c r="H53" s="27">
        <f>0.81/60</f>
        <v>0.013500000000000002</v>
      </c>
      <c r="I53" s="27">
        <f aca="true" t="shared" si="1" ref="I53:I58">4636.3/21/8</f>
        <v>27.59702380952381</v>
      </c>
      <c r="J53" s="23">
        <f aca="true" t="shared" si="2" ref="J53:J58">F53*H53*I53*G53</f>
        <v>32789.22273381697</v>
      </c>
      <c r="K53" s="26"/>
    </row>
    <row r="54" spans="1:11" s="24" customFormat="1" ht="26.25" customHeight="1">
      <c r="A54" s="103" t="s">
        <v>177</v>
      </c>
      <c r="B54" s="103"/>
      <c r="C54" s="103"/>
      <c r="D54" s="103"/>
      <c r="E54" s="15" t="s">
        <v>75</v>
      </c>
      <c r="F54" s="27">
        <f>G8/F2*3</f>
        <v>241.125</v>
      </c>
      <c r="G54" s="8">
        <v>24</v>
      </c>
      <c r="H54" s="27">
        <f>1.07/60</f>
        <v>0.017833333333333333</v>
      </c>
      <c r="I54" s="27">
        <f t="shared" si="1"/>
        <v>27.59702380952381</v>
      </c>
      <c r="J54" s="23">
        <f t="shared" si="2"/>
        <v>2848.054252678572</v>
      </c>
      <c r="K54" s="26"/>
    </row>
    <row r="55" spans="1:11" s="24" customFormat="1" ht="12.75" customHeight="1">
      <c r="A55" s="103" t="s">
        <v>109</v>
      </c>
      <c r="B55" s="103"/>
      <c r="C55" s="103"/>
      <c r="D55" s="103"/>
      <c r="E55" s="15" t="s">
        <v>75</v>
      </c>
      <c r="F55" s="22">
        <f>F2*F3*1.5*2</f>
        <v>36</v>
      </c>
      <c r="G55" s="28">
        <v>2</v>
      </c>
      <c r="H55" s="25">
        <f>3.8/60</f>
        <v>0.06333333333333332</v>
      </c>
      <c r="I55" s="27">
        <f t="shared" si="1"/>
        <v>27.59702380952381</v>
      </c>
      <c r="J55" s="23">
        <f t="shared" si="2"/>
        <v>125.84242857142857</v>
      </c>
      <c r="K55" s="26"/>
    </row>
    <row r="56" spans="1:10" s="24" customFormat="1" ht="12.75" customHeight="1">
      <c r="A56" s="116" t="s">
        <v>110</v>
      </c>
      <c r="B56" s="116"/>
      <c r="C56" s="116"/>
      <c r="D56" s="116"/>
      <c r="E56" s="29" t="s">
        <v>75</v>
      </c>
      <c r="F56" s="30">
        <f>G9</f>
        <v>1660.8</v>
      </c>
      <c r="G56" s="28">
        <v>2</v>
      </c>
      <c r="H56" s="25">
        <f>0.91/60</f>
        <v>0.015166666666666667</v>
      </c>
      <c r="I56" s="27">
        <f t="shared" si="1"/>
        <v>27.59702380952381</v>
      </c>
      <c r="J56" s="23">
        <f>F56*H56*I56*G56</f>
        <v>1390.2718266666668</v>
      </c>
    </row>
    <row r="57" spans="1:11" s="24" customFormat="1" ht="26.25" customHeight="1">
      <c r="A57" s="103" t="s">
        <v>148</v>
      </c>
      <c r="B57" s="103"/>
      <c r="C57" s="103"/>
      <c r="D57" s="103"/>
      <c r="E57" s="15" t="s">
        <v>75</v>
      </c>
      <c r="F57" s="22">
        <f>G10</f>
        <v>760</v>
      </c>
      <c r="G57" s="8">
        <v>365</v>
      </c>
      <c r="H57" s="63">
        <f>0.08/60</f>
        <v>0.0013333333333333333</v>
      </c>
      <c r="I57" s="27">
        <f t="shared" si="1"/>
        <v>27.59702380952381</v>
      </c>
      <c r="J57" s="23">
        <f>F57*H57*I57*G57</f>
        <v>10207.219206349206</v>
      </c>
      <c r="K57" s="26"/>
    </row>
    <row r="58" spans="1:11" s="24" customFormat="1" ht="12.75" customHeight="1">
      <c r="A58" s="103" t="s">
        <v>116</v>
      </c>
      <c r="B58" s="103"/>
      <c r="C58" s="103"/>
      <c r="D58" s="103"/>
      <c r="E58" s="15" t="s">
        <v>75</v>
      </c>
      <c r="F58" s="22">
        <f>G12</f>
        <v>621</v>
      </c>
      <c r="G58" s="8">
        <v>182</v>
      </c>
      <c r="H58" s="63">
        <f>0.077/60</f>
        <v>0.0012833333333333334</v>
      </c>
      <c r="I58" s="27">
        <f t="shared" si="1"/>
        <v>27.59702380952381</v>
      </c>
      <c r="J58" s="23">
        <f t="shared" si="2"/>
        <v>4002.8075587500007</v>
      </c>
      <c r="K58" s="26"/>
    </row>
    <row r="59" spans="1:11" s="24" customFormat="1" ht="12.75" customHeight="1">
      <c r="A59" s="103" t="s">
        <v>81</v>
      </c>
      <c r="B59" s="103"/>
      <c r="C59" s="103"/>
      <c r="D59" s="103"/>
      <c r="E59" s="15"/>
      <c r="F59" s="22"/>
      <c r="G59" s="8"/>
      <c r="H59" s="27"/>
      <c r="I59" s="27"/>
      <c r="J59" s="23">
        <f>SUM(J53:J58)</f>
        <v>51363.418006832835</v>
      </c>
      <c r="K59" s="26"/>
    </row>
    <row r="60" spans="1:11" s="24" customFormat="1" ht="12.75">
      <c r="A60" s="107" t="s">
        <v>122</v>
      </c>
      <c r="B60" s="107"/>
      <c r="C60" s="107"/>
      <c r="D60" s="107"/>
      <c r="E60" s="15"/>
      <c r="F60" s="22"/>
      <c r="G60" s="15"/>
      <c r="H60" s="37"/>
      <c r="I60" s="8"/>
      <c r="J60" s="23"/>
      <c r="K60" s="26"/>
    </row>
    <row r="61" spans="1:11" s="24" customFormat="1" ht="12.75">
      <c r="A61" s="103" t="s">
        <v>123</v>
      </c>
      <c r="B61" s="103"/>
      <c r="C61" s="103"/>
      <c r="D61" s="103"/>
      <c r="E61" s="74"/>
      <c r="F61" s="74"/>
      <c r="G61" s="74"/>
      <c r="H61" s="74"/>
      <c r="I61" s="8"/>
      <c r="J61" s="23">
        <f>289094.02/216035.97*C8*0.4</f>
        <v>1166.7283654550674</v>
      </c>
      <c r="K61" s="26"/>
    </row>
    <row r="62" spans="1:11" s="24" customFormat="1" ht="12.75">
      <c r="A62" s="103" t="s">
        <v>124</v>
      </c>
      <c r="B62" s="103"/>
      <c r="C62" s="103"/>
      <c r="D62" s="103"/>
      <c r="E62" s="74"/>
      <c r="F62" s="74"/>
      <c r="G62" s="74"/>
      <c r="H62" s="74"/>
      <c r="I62" s="8"/>
      <c r="J62" s="23">
        <f>289094.02/216035.97*C8*0.6</f>
        <v>1750.0925481826011</v>
      </c>
      <c r="K62" s="26"/>
    </row>
    <row r="63" spans="1:11" s="24" customFormat="1" ht="12.75">
      <c r="A63" s="113" t="s">
        <v>142</v>
      </c>
      <c r="B63" s="114"/>
      <c r="C63" s="114"/>
      <c r="D63" s="115"/>
      <c r="E63" s="76"/>
      <c r="F63" s="102"/>
      <c r="G63" s="102"/>
      <c r="H63" s="77"/>
      <c r="I63" s="40"/>
      <c r="J63" s="23">
        <f>4165419.84/216035.97*C8</f>
        <v>42027.10143708012</v>
      </c>
      <c r="K63" s="26"/>
    </row>
    <row r="64" spans="1:11" s="24" customFormat="1" ht="12.75">
      <c r="A64" s="103" t="s">
        <v>125</v>
      </c>
      <c r="B64" s="103"/>
      <c r="C64" s="103"/>
      <c r="D64" s="103"/>
      <c r="E64" s="74" t="s">
        <v>126</v>
      </c>
      <c r="F64" s="74"/>
      <c r="G64" s="74"/>
      <c r="H64" s="74"/>
      <c r="I64" s="8"/>
      <c r="J64" s="39">
        <f>1349416.8/216035.97*C8</f>
        <v>13614.972538878594</v>
      </c>
      <c r="K64" s="26"/>
    </row>
    <row r="65" spans="1:11" s="24" customFormat="1" ht="12.75">
      <c r="A65" s="103" t="s">
        <v>127</v>
      </c>
      <c r="B65" s="103"/>
      <c r="C65" s="103"/>
      <c r="D65" s="103"/>
      <c r="E65" s="74" t="s">
        <v>126</v>
      </c>
      <c r="F65" s="74"/>
      <c r="G65" s="74"/>
      <c r="H65" s="74"/>
      <c r="I65" s="8"/>
      <c r="J65" s="23">
        <f>(2857602.58)/216035.97*C8</f>
        <v>28831.84843536009</v>
      </c>
      <c r="K65" s="26"/>
    </row>
    <row r="66" spans="1:11" s="24" customFormat="1" ht="12.75">
      <c r="A66" s="103" t="s">
        <v>129</v>
      </c>
      <c r="B66" s="103"/>
      <c r="C66" s="103"/>
      <c r="D66" s="103"/>
      <c r="E66" s="74" t="s">
        <v>130</v>
      </c>
      <c r="F66" s="74"/>
      <c r="G66" s="74"/>
      <c r="H66" s="74"/>
      <c r="I66" s="8"/>
      <c r="J66" s="23">
        <f>(111173.4)/216035.97*C8</f>
        <v>1121.6866338508348</v>
      </c>
      <c r="K66" s="26"/>
    </row>
    <row r="67" spans="1:11" s="24" customFormat="1" ht="12.75">
      <c r="A67" s="103" t="s">
        <v>131</v>
      </c>
      <c r="B67" s="103"/>
      <c r="C67" s="103"/>
      <c r="D67" s="103"/>
      <c r="E67" s="74" t="s">
        <v>132</v>
      </c>
      <c r="F67" s="74"/>
      <c r="G67" s="74"/>
      <c r="H67" s="74"/>
      <c r="I67" s="8"/>
      <c r="J67" s="23">
        <f>155424.88/216035.97*C8</f>
        <v>1568.1629820071164</v>
      </c>
      <c r="K67" s="26"/>
    </row>
    <row r="68" spans="1:11" s="24" customFormat="1" ht="12.75">
      <c r="A68" s="103" t="s">
        <v>133</v>
      </c>
      <c r="B68" s="103"/>
      <c r="C68" s="103"/>
      <c r="D68" s="103"/>
      <c r="E68" s="74" t="s">
        <v>126</v>
      </c>
      <c r="F68" s="74"/>
      <c r="G68" s="74"/>
      <c r="H68" s="74"/>
      <c r="I68" s="8"/>
      <c r="J68" s="54">
        <f>(5784111.08)/216035.97*C8</f>
        <v>58358.924771074</v>
      </c>
      <c r="K68" s="26"/>
    </row>
    <row r="69" spans="1:11" s="24" customFormat="1" ht="12.75">
      <c r="A69" s="103" t="s">
        <v>134</v>
      </c>
      <c r="B69" s="103"/>
      <c r="C69" s="103"/>
      <c r="D69" s="103"/>
      <c r="E69" s="74" t="s">
        <v>126</v>
      </c>
      <c r="F69" s="74"/>
      <c r="G69" s="74"/>
      <c r="H69" s="74"/>
      <c r="I69" s="8"/>
      <c r="J69" s="54">
        <f>534581.97/216035.97*C8</f>
        <v>5393.677358492661</v>
      </c>
      <c r="K69" s="26"/>
    </row>
    <row r="70" spans="1:11" s="24" customFormat="1" ht="12.75">
      <c r="A70" s="103" t="s">
        <v>135</v>
      </c>
      <c r="B70" s="103"/>
      <c r="C70" s="103"/>
      <c r="D70" s="103"/>
      <c r="E70" s="74"/>
      <c r="F70" s="74"/>
      <c r="G70" s="74"/>
      <c r="H70" s="74"/>
      <c r="I70" s="8"/>
      <c r="J70" s="54">
        <f>(5509343.39)/216035.97*C8</f>
        <v>55586.64970089471</v>
      </c>
      <c r="K70" s="26"/>
    </row>
    <row r="71" spans="1:11" s="24" customFormat="1" ht="12.75">
      <c r="A71" s="103" t="s">
        <v>136</v>
      </c>
      <c r="B71" s="103"/>
      <c r="C71" s="103"/>
      <c r="D71" s="103"/>
      <c r="E71" s="14"/>
      <c r="F71" s="14"/>
      <c r="G71" s="14"/>
      <c r="H71" s="35"/>
      <c r="I71" s="14"/>
      <c r="J71" s="39">
        <f>(33356+5808548.8+17323.44)/216035.97*C8</f>
        <v>59116.821123482354</v>
      </c>
      <c r="K71" s="26"/>
    </row>
    <row r="72" spans="1:11" s="24" customFormat="1" ht="12.75">
      <c r="A72" s="103" t="s">
        <v>81</v>
      </c>
      <c r="B72" s="103"/>
      <c r="C72" s="103"/>
      <c r="D72" s="103"/>
      <c r="E72" s="15"/>
      <c r="F72" s="15"/>
      <c r="G72" s="15"/>
      <c r="H72" s="37"/>
      <c r="I72" s="8"/>
      <c r="J72" s="23">
        <f>SUM(J61:J71)</f>
        <v>268536.66589475813</v>
      </c>
      <c r="K72" s="26"/>
    </row>
    <row r="73" spans="1:11" s="24" customFormat="1" ht="12.75" customHeight="1">
      <c r="A73" s="103" t="s">
        <v>137</v>
      </c>
      <c r="B73" s="103"/>
      <c r="C73" s="103"/>
      <c r="D73" s="103"/>
      <c r="E73" s="15"/>
      <c r="F73" s="22"/>
      <c r="G73" s="15"/>
      <c r="H73" s="37"/>
      <c r="I73" s="8"/>
      <c r="J73" s="23">
        <f>J44+J51+J59+J72</f>
        <v>329524.76479860523</v>
      </c>
      <c r="K73" s="26"/>
    </row>
    <row r="74" spans="1:11" ht="12.75">
      <c r="A74" s="81" t="s">
        <v>138</v>
      </c>
      <c r="B74" s="81"/>
      <c r="C74" s="81"/>
      <c r="D74" s="81"/>
      <c r="E74" s="81"/>
      <c r="F74" s="81"/>
      <c r="G74" s="81"/>
      <c r="H74" s="81"/>
      <c r="I74" s="81"/>
      <c r="J74" s="31">
        <v>0</v>
      </c>
      <c r="K74" s="26"/>
    </row>
    <row r="75" spans="1:11" ht="12.75">
      <c r="A75" s="81" t="s">
        <v>139</v>
      </c>
      <c r="B75" s="81"/>
      <c r="C75" s="81"/>
      <c r="D75" s="81"/>
      <c r="E75" s="81"/>
      <c r="F75" s="81"/>
      <c r="G75" s="81"/>
      <c r="H75" s="81"/>
      <c r="I75" s="81"/>
      <c r="J75" s="16">
        <f>J73+J74</f>
        <v>329524.76479860523</v>
      </c>
      <c r="K75" s="26"/>
    </row>
    <row r="76" spans="1:11" ht="12.75">
      <c r="A76" s="81" t="s">
        <v>140</v>
      </c>
      <c r="B76" s="81"/>
      <c r="C76" s="81"/>
      <c r="D76" s="81"/>
      <c r="E76" s="81"/>
      <c r="F76" s="81"/>
      <c r="G76" s="81"/>
      <c r="H76" s="81"/>
      <c r="I76" s="81"/>
      <c r="J76" s="31">
        <f>J75*0.18</f>
        <v>59314.45766374894</v>
      </c>
      <c r="K76" s="26"/>
    </row>
    <row r="77" spans="1:11" ht="12.75">
      <c r="A77" s="81" t="s">
        <v>141</v>
      </c>
      <c r="B77" s="81"/>
      <c r="C77" s="81"/>
      <c r="D77" s="81"/>
      <c r="E77" s="81"/>
      <c r="F77" s="81"/>
      <c r="G77" s="81"/>
      <c r="H77" s="81"/>
      <c r="I77" s="81"/>
      <c r="J77" s="32">
        <f>J76+J75</f>
        <v>388839.22246235417</v>
      </c>
      <c r="K77" s="33"/>
    </row>
    <row r="78" spans="1:11" ht="12.75">
      <c r="A78" s="41"/>
      <c r="B78" s="41"/>
      <c r="C78" s="41"/>
      <c r="D78" s="41"/>
      <c r="E78" s="41"/>
      <c r="F78" s="41"/>
      <c r="G78" s="41"/>
      <c r="H78" s="41"/>
      <c r="I78" s="41"/>
      <c r="J78" s="42"/>
      <c r="K78" s="33"/>
    </row>
    <row r="79" spans="1:11" ht="15">
      <c r="A79" s="47" t="s">
        <v>149</v>
      </c>
      <c r="B79" s="45"/>
      <c r="C79" s="45"/>
      <c r="D79" s="45"/>
      <c r="E79" s="45"/>
      <c r="F79" s="45"/>
      <c r="G79" s="45"/>
      <c r="H79" s="46"/>
      <c r="I79" s="41"/>
      <c r="J79" s="42"/>
      <c r="K79" s="33"/>
    </row>
    <row r="80" spans="1:11" ht="27" customHeight="1">
      <c r="A80" s="117" t="s">
        <v>152</v>
      </c>
      <c r="B80" s="118"/>
      <c r="C80" s="117" t="s">
        <v>153</v>
      </c>
      <c r="D80" s="118"/>
      <c r="E80" s="117" t="s">
        <v>150</v>
      </c>
      <c r="F80" s="118"/>
      <c r="G80" s="117" t="s">
        <v>151</v>
      </c>
      <c r="H80" s="118"/>
      <c r="I80" s="41"/>
      <c r="J80" s="42"/>
      <c r="K80" s="33"/>
    </row>
    <row r="81" spans="1:11" ht="12.75">
      <c r="A81" s="124"/>
      <c r="B81" s="125"/>
      <c r="C81" s="104"/>
      <c r="D81" s="126"/>
      <c r="E81" s="119"/>
      <c r="F81" s="126"/>
      <c r="G81" s="119"/>
      <c r="H81" s="120"/>
      <c r="I81" s="41"/>
      <c r="J81" s="42"/>
      <c r="K81" s="33"/>
    </row>
    <row r="82" spans="1:11" ht="12.75">
      <c r="A82" s="41"/>
      <c r="B82" s="41"/>
      <c r="C82" s="41"/>
      <c r="D82" s="41"/>
      <c r="E82" s="41"/>
      <c r="F82" s="41"/>
      <c r="G82" s="41"/>
      <c r="H82" s="41"/>
      <c r="I82" s="41"/>
      <c r="J82" s="42"/>
      <c r="K82" s="33"/>
    </row>
    <row r="83" spans="1:11" ht="15">
      <c r="A83" s="47" t="s">
        <v>154</v>
      </c>
      <c r="B83" s="48"/>
      <c r="C83" s="48"/>
      <c r="D83" s="45"/>
      <c r="E83" s="45"/>
      <c r="F83" s="45"/>
      <c r="G83" s="45"/>
      <c r="H83" s="46"/>
      <c r="I83" s="41"/>
      <c r="J83" s="42"/>
      <c r="K83" s="33"/>
    </row>
    <row r="84" spans="1:11" ht="27" customHeight="1">
      <c r="A84" s="117" t="s">
        <v>155</v>
      </c>
      <c r="B84" s="118"/>
      <c r="C84" s="117" t="s">
        <v>156</v>
      </c>
      <c r="D84" s="118"/>
      <c r="E84" s="122" t="s">
        <v>157</v>
      </c>
      <c r="F84" s="122"/>
      <c r="G84" s="123"/>
      <c r="H84" s="123"/>
      <c r="I84" s="41"/>
      <c r="J84" s="42"/>
      <c r="K84" s="33"/>
    </row>
    <row r="85" spans="1:11" ht="27" customHeight="1">
      <c r="A85" s="124"/>
      <c r="B85" s="125"/>
      <c r="C85" s="128"/>
      <c r="D85" s="77"/>
      <c r="E85" s="129"/>
      <c r="F85" s="81"/>
      <c r="G85" s="121"/>
      <c r="H85" s="121"/>
      <c r="I85" s="41"/>
      <c r="J85" s="42"/>
      <c r="K85" s="33"/>
    </row>
    <row r="86" spans="1:11" ht="12.75">
      <c r="A86" s="41"/>
      <c r="B86" s="41"/>
      <c r="C86" s="41"/>
      <c r="D86" s="41"/>
      <c r="E86" s="41"/>
      <c r="F86" s="41"/>
      <c r="G86" s="41"/>
      <c r="H86" s="41"/>
      <c r="I86" s="41"/>
      <c r="J86" s="42"/>
      <c r="K86" s="33"/>
    </row>
    <row r="87" spans="1:11" ht="12.75">
      <c r="A87" s="127" t="s">
        <v>147</v>
      </c>
      <c r="B87" s="127"/>
      <c r="C87" s="127"/>
      <c r="D87" s="127"/>
      <c r="E87" s="127"/>
      <c r="F87" s="41"/>
      <c r="G87" s="41"/>
      <c r="H87" s="41"/>
      <c r="I87" s="41"/>
      <c r="J87" s="42"/>
      <c r="K87" s="33"/>
    </row>
    <row r="88" spans="1:11" ht="12.75">
      <c r="A88" s="127"/>
      <c r="B88" s="127"/>
      <c r="C88" s="127"/>
      <c r="D88" s="127"/>
      <c r="E88" s="127"/>
      <c r="F88" s="41"/>
      <c r="G88" s="41"/>
      <c r="H88" s="41"/>
      <c r="I88" s="41"/>
      <c r="J88" s="42"/>
      <c r="K88" s="33"/>
    </row>
    <row r="89" spans="1:11" ht="12.75">
      <c r="A89" s="41"/>
      <c r="B89" s="41"/>
      <c r="C89" s="41"/>
      <c r="D89" s="41"/>
      <c r="E89" s="41"/>
      <c r="F89" s="41"/>
      <c r="G89" s="41"/>
      <c r="H89" s="41"/>
      <c r="I89" s="41"/>
      <c r="J89" s="42"/>
      <c r="K89" s="33"/>
    </row>
    <row r="90" spans="1:11" ht="12.75">
      <c r="A90" s="44" t="s">
        <v>65</v>
      </c>
      <c r="B90" s="43" t="s">
        <v>143</v>
      </c>
      <c r="C90" s="43" t="s">
        <v>144</v>
      </c>
      <c r="D90" s="43" t="s">
        <v>145</v>
      </c>
      <c r="E90" s="55" t="s">
        <v>146</v>
      </c>
      <c r="F90" s="41"/>
      <c r="G90" s="41"/>
      <c r="H90" s="41"/>
      <c r="I90" s="41"/>
      <c r="J90" s="42"/>
      <c r="K90" s="33"/>
    </row>
  </sheetData>
  <sheetProtection/>
  <mergeCells count="145">
    <mergeCell ref="A87:E88"/>
    <mergeCell ref="A85:B85"/>
    <mergeCell ref="C85:D85"/>
    <mergeCell ref="E85:F85"/>
    <mergeCell ref="G81:H81"/>
    <mergeCell ref="G85:H85"/>
    <mergeCell ref="A84:B84"/>
    <mergeCell ref="C84:D84"/>
    <mergeCell ref="E84:F84"/>
    <mergeCell ref="G84:H84"/>
    <mergeCell ref="A81:B81"/>
    <mergeCell ref="C81:D81"/>
    <mergeCell ref="E81:F81"/>
    <mergeCell ref="A73:D73"/>
    <mergeCell ref="A74:I74"/>
    <mergeCell ref="A75:I75"/>
    <mergeCell ref="A76:I76"/>
    <mergeCell ref="A77:I77"/>
    <mergeCell ref="A80:B80"/>
    <mergeCell ref="C80:D80"/>
    <mergeCell ref="E80:F80"/>
    <mergeCell ref="G80:H80"/>
    <mergeCell ref="A64:D64"/>
    <mergeCell ref="E64:H64"/>
    <mergeCell ref="A72:D72"/>
    <mergeCell ref="A66:D66"/>
    <mergeCell ref="E66:H66"/>
    <mergeCell ref="A67:D67"/>
    <mergeCell ref="E67:H67"/>
    <mergeCell ref="A68:D68"/>
    <mergeCell ref="E68:H68"/>
    <mergeCell ref="A69:D69"/>
    <mergeCell ref="A71:D71"/>
    <mergeCell ref="E70:H70"/>
    <mergeCell ref="A65:D65"/>
    <mergeCell ref="E65:H65"/>
    <mergeCell ref="E69:H69"/>
    <mergeCell ref="A70:D70"/>
    <mergeCell ref="A58:D58"/>
    <mergeCell ref="A59:D59"/>
    <mergeCell ref="A56:D56"/>
    <mergeCell ref="A60:D60"/>
    <mergeCell ref="A57:D57"/>
    <mergeCell ref="A61:D61"/>
    <mergeCell ref="E61:H61"/>
    <mergeCell ref="A63:D63"/>
    <mergeCell ref="E63:H63"/>
    <mergeCell ref="A62:D62"/>
    <mergeCell ref="E62:H62"/>
    <mergeCell ref="A51:D51"/>
    <mergeCell ref="A46:D46"/>
    <mergeCell ref="A47:D47"/>
    <mergeCell ref="A48:D48"/>
    <mergeCell ref="A49:D49"/>
    <mergeCell ref="A50:D50"/>
    <mergeCell ref="A55:D55"/>
    <mergeCell ref="A52:D52"/>
    <mergeCell ref="A53:D53"/>
    <mergeCell ref="A54:D54"/>
    <mergeCell ref="A42:D42"/>
    <mergeCell ref="A43:D43"/>
    <mergeCell ref="A44:D44"/>
    <mergeCell ref="A45:D45"/>
    <mergeCell ref="J38:J39"/>
    <mergeCell ref="A33:B33"/>
    <mergeCell ref="C33:E33"/>
    <mergeCell ref="F33:H33"/>
    <mergeCell ref="A34:B34"/>
    <mergeCell ref="A36:C36"/>
    <mergeCell ref="D36:J36"/>
    <mergeCell ref="F37:J37"/>
    <mergeCell ref="I38:I39"/>
    <mergeCell ref="H38:H39"/>
    <mergeCell ref="A40:D40"/>
    <mergeCell ref="A41:D41"/>
    <mergeCell ref="A32:B32"/>
    <mergeCell ref="C32:E32"/>
    <mergeCell ref="F32:H32"/>
    <mergeCell ref="F38:G38"/>
    <mergeCell ref="A38:D39"/>
    <mergeCell ref="E38:E39"/>
    <mergeCell ref="C34:E34"/>
    <mergeCell ref="F34:H34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A20:B20"/>
    <mergeCell ref="C20:D20"/>
    <mergeCell ref="F20:G20"/>
    <mergeCell ref="C22:E22"/>
    <mergeCell ref="F22:H22"/>
    <mergeCell ref="A23:B23"/>
    <mergeCell ref="C23:E23"/>
    <mergeCell ref="F23:H23"/>
    <mergeCell ref="K14:K15"/>
    <mergeCell ref="I15:J15"/>
    <mergeCell ref="D14:F14"/>
    <mergeCell ref="A18:B19"/>
    <mergeCell ref="C18:E18"/>
    <mergeCell ref="F18:H18"/>
    <mergeCell ref="C19:D19"/>
    <mergeCell ref="F19:G19"/>
    <mergeCell ref="K10:K12"/>
    <mergeCell ref="D11:F11"/>
    <mergeCell ref="A12:B12"/>
    <mergeCell ref="D12:F12"/>
    <mergeCell ref="A13:B13"/>
    <mergeCell ref="D13:F13"/>
    <mergeCell ref="A11:B11"/>
    <mergeCell ref="A10:B10"/>
    <mergeCell ref="D10:F10"/>
    <mergeCell ref="I10:J12"/>
    <mergeCell ref="A9:B9"/>
    <mergeCell ref="D9:F9"/>
    <mergeCell ref="K7:K8"/>
    <mergeCell ref="A8:B8"/>
    <mergeCell ref="D8:F8"/>
    <mergeCell ref="A1:G1"/>
    <mergeCell ref="G3:G5"/>
    <mergeCell ref="H3:H5"/>
    <mergeCell ref="I4:J5"/>
    <mergeCell ref="I7:J8"/>
    <mergeCell ref="A7:B7"/>
    <mergeCell ref="D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01">
      <selection activeCell="A71" sqref="A71:D71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3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85" t="s">
        <v>163</v>
      </c>
      <c r="B1" s="85"/>
      <c r="C1" s="85"/>
      <c r="D1" s="85"/>
      <c r="E1" s="85"/>
      <c r="F1" s="85"/>
      <c r="G1" s="85"/>
      <c r="I1"/>
    </row>
    <row r="2" spans="1:12" ht="12.75">
      <c r="A2" t="s">
        <v>0</v>
      </c>
      <c r="C2">
        <v>1961</v>
      </c>
      <c r="D2" t="s">
        <v>1</v>
      </c>
      <c r="F2">
        <v>5</v>
      </c>
      <c r="G2" t="s">
        <v>2</v>
      </c>
      <c r="H2" s="34">
        <v>77</v>
      </c>
      <c r="I2" s="2"/>
      <c r="J2" s="3" t="s">
        <v>3</v>
      </c>
      <c r="K2" s="2" t="s">
        <v>4</v>
      </c>
      <c r="L2" s="3" t="s">
        <v>5</v>
      </c>
    </row>
    <row r="3" spans="1:12" ht="12.75">
      <c r="A3" t="s">
        <v>6</v>
      </c>
      <c r="C3">
        <v>33</v>
      </c>
      <c r="D3" t="s">
        <v>7</v>
      </c>
      <c r="F3">
        <v>4</v>
      </c>
      <c r="G3" s="86" t="s">
        <v>8</v>
      </c>
      <c r="H3" s="89">
        <v>0</v>
      </c>
      <c r="I3" s="2" t="s">
        <v>9</v>
      </c>
      <c r="J3" s="2">
        <v>171.2</v>
      </c>
      <c r="K3" s="59" t="s">
        <v>165</v>
      </c>
      <c r="L3" s="59" t="s">
        <v>166</v>
      </c>
    </row>
    <row r="4" spans="1:12" ht="12.75">
      <c r="A4" t="s">
        <v>10</v>
      </c>
      <c r="C4" t="s">
        <v>161</v>
      </c>
      <c r="D4" t="s">
        <v>11</v>
      </c>
      <c r="F4" s="49" t="s">
        <v>162</v>
      </c>
      <c r="G4" s="87"/>
      <c r="H4" s="90"/>
      <c r="I4" s="92"/>
      <c r="J4" s="93"/>
      <c r="K4" s="59"/>
      <c r="L4" s="59" t="s">
        <v>167</v>
      </c>
    </row>
    <row r="5" spans="1:12" ht="12.75">
      <c r="A5" t="s">
        <v>12</v>
      </c>
      <c r="C5" t="s">
        <v>164</v>
      </c>
      <c r="D5" t="s">
        <v>14</v>
      </c>
      <c r="F5">
        <v>0</v>
      </c>
      <c r="G5" s="88"/>
      <c r="H5" s="91"/>
      <c r="I5" s="94"/>
      <c r="J5" s="95"/>
      <c r="K5" s="59"/>
      <c r="L5" s="60"/>
    </row>
    <row r="6" spans="9:12" ht="12.75">
      <c r="I6" s="2" t="s">
        <v>15</v>
      </c>
      <c r="J6" s="2">
        <v>72.9</v>
      </c>
      <c r="K6" s="60" t="s">
        <v>160</v>
      </c>
      <c r="L6" s="61" t="s">
        <v>168</v>
      </c>
    </row>
    <row r="7" spans="1:12" ht="12.75">
      <c r="A7" s="82" t="s">
        <v>17</v>
      </c>
      <c r="B7" s="84"/>
      <c r="C7" s="1" t="s">
        <v>18</v>
      </c>
      <c r="D7" s="82" t="s">
        <v>19</v>
      </c>
      <c r="E7" s="83"/>
      <c r="F7" s="84"/>
      <c r="G7" s="1" t="s">
        <v>18</v>
      </c>
      <c r="I7" s="92"/>
      <c r="J7" s="93"/>
      <c r="K7" s="79"/>
      <c r="L7" s="59" t="s">
        <v>169</v>
      </c>
    </row>
    <row r="8" spans="1:12" ht="12.75">
      <c r="A8" s="81" t="s">
        <v>21</v>
      </c>
      <c r="B8" s="81"/>
      <c r="C8">
        <v>3263.9</v>
      </c>
      <c r="D8" s="82" t="s">
        <v>22</v>
      </c>
      <c r="E8" s="83"/>
      <c r="F8" s="84"/>
      <c r="G8" s="50">
        <f>30.6+376.4+120</f>
        <v>527</v>
      </c>
      <c r="I8" s="94"/>
      <c r="J8" s="95"/>
      <c r="K8" s="80"/>
      <c r="L8" s="59"/>
    </row>
    <row r="9" spans="1:12" ht="12.75">
      <c r="A9" s="81" t="s">
        <v>23</v>
      </c>
      <c r="B9" s="81"/>
      <c r="C9">
        <v>2280.6</v>
      </c>
      <c r="D9" s="82" t="s">
        <v>24</v>
      </c>
      <c r="E9" s="83"/>
      <c r="F9" s="84"/>
      <c r="G9" s="58">
        <v>741</v>
      </c>
      <c r="I9" s="2" t="s">
        <v>25</v>
      </c>
      <c r="J9" s="2">
        <v>72.9</v>
      </c>
      <c r="K9" s="59" t="s">
        <v>160</v>
      </c>
      <c r="L9" s="59" t="s">
        <v>170</v>
      </c>
    </row>
    <row r="10" spans="1:12" ht="12.75">
      <c r="A10" s="81" t="s">
        <v>26</v>
      </c>
      <c r="B10" s="81"/>
      <c r="C10" s="50">
        <v>983.3</v>
      </c>
      <c r="D10" s="82" t="s">
        <v>27</v>
      </c>
      <c r="E10" s="83"/>
      <c r="F10" s="84"/>
      <c r="G10">
        <f>607+507</f>
        <v>1114</v>
      </c>
      <c r="I10" s="96"/>
      <c r="J10" s="96"/>
      <c r="K10" s="79"/>
      <c r="L10" s="59" t="s">
        <v>171</v>
      </c>
    </row>
    <row r="11" spans="1:12" ht="12.75" customHeight="1">
      <c r="A11" s="81" t="s">
        <v>28</v>
      </c>
      <c r="B11" s="81"/>
      <c r="C11">
        <v>926</v>
      </c>
      <c r="D11" s="82" t="s">
        <v>29</v>
      </c>
      <c r="E11" s="83"/>
      <c r="F11" s="84"/>
      <c r="G11">
        <v>0</v>
      </c>
      <c r="I11" s="96"/>
      <c r="J11" s="96"/>
      <c r="K11" s="78"/>
      <c r="L11" s="59"/>
    </row>
    <row r="12" spans="1:12" ht="12.75">
      <c r="A12" s="81" t="s">
        <v>30</v>
      </c>
      <c r="B12" s="81"/>
      <c r="C12" s="7">
        <v>724</v>
      </c>
      <c r="D12" s="82" t="s">
        <v>31</v>
      </c>
      <c r="E12" s="83"/>
      <c r="F12" s="84"/>
      <c r="G12">
        <v>369</v>
      </c>
      <c r="I12" s="96"/>
      <c r="J12" s="96"/>
      <c r="K12" s="78"/>
      <c r="L12" s="59"/>
    </row>
    <row r="13" spans="1:12" ht="12.75">
      <c r="A13" s="74" t="s">
        <v>32</v>
      </c>
      <c r="B13" s="74"/>
      <c r="C13" s="7">
        <v>1204</v>
      </c>
      <c r="D13" s="82" t="s">
        <v>33</v>
      </c>
      <c r="E13" s="83"/>
      <c r="F13" s="84"/>
      <c r="G13">
        <v>300</v>
      </c>
      <c r="I13" s="5"/>
      <c r="J13" s="2" t="s">
        <v>3</v>
      </c>
      <c r="K13" s="62" t="s">
        <v>34</v>
      </c>
      <c r="L13" s="62" t="s">
        <v>35</v>
      </c>
    </row>
    <row r="14" spans="4:12" ht="12.75">
      <c r="D14" s="82" t="s">
        <v>36</v>
      </c>
      <c r="E14" s="83"/>
      <c r="F14" s="84"/>
      <c r="G14" s="9">
        <v>1079</v>
      </c>
      <c r="I14" s="2" t="s">
        <v>37</v>
      </c>
      <c r="J14" s="10">
        <v>72.9</v>
      </c>
      <c r="K14" s="97" t="s">
        <v>38</v>
      </c>
      <c r="L14" s="3"/>
    </row>
    <row r="15" spans="6:12" ht="12.75">
      <c r="F15" s="11" t="s">
        <v>39</v>
      </c>
      <c r="G15" s="12">
        <v>19.9</v>
      </c>
      <c r="I15" s="99"/>
      <c r="J15" s="100"/>
      <c r="K15" s="98"/>
      <c r="L15" s="3"/>
    </row>
    <row r="16" ht="12.75">
      <c r="B16" t="s">
        <v>40</v>
      </c>
    </row>
    <row r="18" spans="1:9" ht="39.75" customHeight="1">
      <c r="A18" s="101" t="s">
        <v>41</v>
      </c>
      <c r="B18" s="101"/>
      <c r="C18" s="74" t="s">
        <v>42</v>
      </c>
      <c r="D18" s="74"/>
      <c r="E18" s="74"/>
      <c r="F18" s="76" t="s">
        <v>43</v>
      </c>
      <c r="G18" s="102"/>
      <c r="H18" s="77"/>
      <c r="I18" s="13"/>
    </row>
    <row r="19" spans="1:8" ht="31.5" customHeight="1">
      <c r="A19" s="101"/>
      <c r="B19" s="101"/>
      <c r="C19" s="76" t="s">
        <v>44</v>
      </c>
      <c r="D19" s="77"/>
      <c r="E19" s="14" t="s">
        <v>45</v>
      </c>
      <c r="F19" s="76" t="s">
        <v>44</v>
      </c>
      <c r="G19" s="77"/>
      <c r="H19" s="35" t="s">
        <v>46</v>
      </c>
    </row>
    <row r="20" spans="1:8" ht="25.5" customHeight="1">
      <c r="A20" s="103" t="s">
        <v>47</v>
      </c>
      <c r="B20" s="103"/>
      <c r="C20" s="104">
        <f>C8*12*G15</f>
        <v>779419.32</v>
      </c>
      <c r="D20" s="105"/>
      <c r="E20" s="16">
        <f>C9*1.18*12</f>
        <v>32293.295999999995</v>
      </c>
      <c r="F20" s="104">
        <f>SUM(F23:H34)</f>
        <v>0</v>
      </c>
      <c r="G20" s="105"/>
      <c r="H20" s="31"/>
    </row>
    <row r="21" spans="1:8" ht="12.75">
      <c r="A21" s="17"/>
      <c r="B21" s="17"/>
      <c r="C21" s="18"/>
      <c r="D21" s="18"/>
      <c r="E21" s="18"/>
      <c r="F21" s="18"/>
      <c r="G21" s="18"/>
      <c r="H21" s="36"/>
    </row>
    <row r="22" spans="1:9" ht="12.75">
      <c r="A22" s="15"/>
      <c r="B22" s="19"/>
      <c r="C22" s="74" t="s">
        <v>48</v>
      </c>
      <c r="D22" s="74"/>
      <c r="E22" s="74"/>
      <c r="F22" s="75" t="s">
        <v>49</v>
      </c>
      <c r="G22" s="75"/>
      <c r="H22" s="75"/>
      <c r="I22" s="16" t="s">
        <v>46</v>
      </c>
    </row>
    <row r="23" spans="1:9" ht="12.75">
      <c r="A23" s="74" t="s">
        <v>50</v>
      </c>
      <c r="B23" s="74"/>
      <c r="C23" s="75">
        <f>(C20+E20)/12</f>
        <v>67642.718</v>
      </c>
      <c r="D23" s="75"/>
      <c r="E23" s="75"/>
      <c r="F23" s="75">
        <v>0</v>
      </c>
      <c r="G23" s="75"/>
      <c r="H23" s="75"/>
      <c r="I23" s="38"/>
    </row>
    <row r="24" spans="1:9" ht="12.75">
      <c r="A24" s="74" t="s">
        <v>51</v>
      </c>
      <c r="B24" s="74"/>
      <c r="C24" s="75">
        <f>(C20+E20)/12</f>
        <v>67642.718</v>
      </c>
      <c r="D24" s="75"/>
      <c r="E24" s="75"/>
      <c r="F24" s="75">
        <f>C24*I24</f>
        <v>0</v>
      </c>
      <c r="G24" s="75"/>
      <c r="H24" s="75"/>
      <c r="I24" s="38"/>
    </row>
    <row r="25" spans="1:9" ht="12.75">
      <c r="A25" s="74" t="s">
        <v>52</v>
      </c>
      <c r="B25" s="74"/>
      <c r="C25" s="75">
        <f>(C20+E20)/12</f>
        <v>67642.718</v>
      </c>
      <c r="D25" s="75"/>
      <c r="E25" s="75"/>
      <c r="F25" s="75">
        <f>C25*I25</f>
        <v>0</v>
      </c>
      <c r="G25" s="75"/>
      <c r="H25" s="75"/>
      <c r="I25" s="38"/>
    </row>
    <row r="26" spans="1:9" ht="12.75">
      <c r="A26" s="74" t="s">
        <v>53</v>
      </c>
      <c r="B26" s="74"/>
      <c r="C26" s="75">
        <f>(C20+E20)/12</f>
        <v>67642.718</v>
      </c>
      <c r="D26" s="75"/>
      <c r="E26" s="75"/>
      <c r="F26" s="75">
        <f>C26*I26</f>
        <v>0</v>
      </c>
      <c r="G26" s="75"/>
      <c r="H26" s="75"/>
      <c r="I26" s="38"/>
    </row>
    <row r="27" spans="1:9" ht="12.75">
      <c r="A27" s="74" t="s">
        <v>54</v>
      </c>
      <c r="B27" s="74"/>
      <c r="C27" s="75">
        <f>(C20+E20)/12</f>
        <v>67642.718</v>
      </c>
      <c r="D27" s="75"/>
      <c r="E27" s="75"/>
      <c r="F27" s="75">
        <f aca="true" t="shared" si="0" ref="F27:F34">C27*I27</f>
        <v>0</v>
      </c>
      <c r="G27" s="75"/>
      <c r="H27" s="75"/>
      <c r="I27" s="38"/>
    </row>
    <row r="28" spans="1:9" ht="12.75">
      <c r="A28" s="74" t="s">
        <v>55</v>
      </c>
      <c r="B28" s="74"/>
      <c r="C28" s="75">
        <f>(C20+E20)/12</f>
        <v>67642.718</v>
      </c>
      <c r="D28" s="75"/>
      <c r="E28" s="75"/>
      <c r="F28" s="75">
        <f t="shared" si="0"/>
        <v>0</v>
      </c>
      <c r="G28" s="75"/>
      <c r="H28" s="75"/>
      <c r="I28" s="38"/>
    </row>
    <row r="29" spans="1:9" ht="12.75">
      <c r="A29" s="74" t="s">
        <v>56</v>
      </c>
      <c r="B29" s="74"/>
      <c r="C29" s="75">
        <f>(C20+E20)/12</f>
        <v>67642.718</v>
      </c>
      <c r="D29" s="75"/>
      <c r="E29" s="75"/>
      <c r="F29" s="75">
        <f t="shared" si="0"/>
        <v>0</v>
      </c>
      <c r="G29" s="75"/>
      <c r="H29" s="75"/>
      <c r="I29" s="38"/>
    </row>
    <row r="30" spans="1:9" ht="12.75">
      <c r="A30" s="74" t="s">
        <v>57</v>
      </c>
      <c r="B30" s="74"/>
      <c r="C30" s="75">
        <f>(C20+E20)/12</f>
        <v>67642.718</v>
      </c>
      <c r="D30" s="75"/>
      <c r="E30" s="75"/>
      <c r="F30" s="75">
        <f t="shared" si="0"/>
        <v>0</v>
      </c>
      <c r="G30" s="75"/>
      <c r="H30" s="75"/>
      <c r="I30" s="38"/>
    </row>
    <row r="31" spans="1:9" ht="12.75">
      <c r="A31" s="74" t="s">
        <v>58</v>
      </c>
      <c r="B31" s="74"/>
      <c r="C31" s="75">
        <f>(C20+E20)/12</f>
        <v>67642.718</v>
      </c>
      <c r="D31" s="75"/>
      <c r="E31" s="75"/>
      <c r="F31" s="75">
        <f t="shared" si="0"/>
        <v>0</v>
      </c>
      <c r="G31" s="75"/>
      <c r="H31" s="75"/>
      <c r="I31" s="38"/>
    </row>
    <row r="32" spans="1:9" ht="12.75">
      <c r="A32" s="74" t="s">
        <v>59</v>
      </c>
      <c r="B32" s="74"/>
      <c r="C32" s="75">
        <f>(C20+E20)/12</f>
        <v>67642.718</v>
      </c>
      <c r="D32" s="75"/>
      <c r="E32" s="75"/>
      <c r="F32" s="75">
        <f t="shared" si="0"/>
        <v>0</v>
      </c>
      <c r="G32" s="75"/>
      <c r="H32" s="75"/>
      <c r="I32" s="38"/>
    </row>
    <row r="33" spans="1:9" ht="12.75">
      <c r="A33" s="74" t="s">
        <v>60</v>
      </c>
      <c r="B33" s="74"/>
      <c r="C33" s="75">
        <f>(C20+E20)/12</f>
        <v>67642.718</v>
      </c>
      <c r="D33" s="75"/>
      <c r="E33" s="75"/>
      <c r="F33" s="75">
        <f t="shared" si="0"/>
        <v>0</v>
      </c>
      <c r="G33" s="75"/>
      <c r="H33" s="75"/>
      <c r="I33" s="38"/>
    </row>
    <row r="34" spans="1:9" ht="12.75">
      <c r="A34" s="74" t="s">
        <v>61</v>
      </c>
      <c r="B34" s="74"/>
      <c r="C34" s="75">
        <f>(C20+E20)/12</f>
        <v>67642.718</v>
      </c>
      <c r="D34" s="75"/>
      <c r="E34" s="75"/>
      <c r="F34" s="75">
        <f t="shared" si="0"/>
        <v>0</v>
      </c>
      <c r="G34" s="75"/>
      <c r="H34" s="75"/>
      <c r="I34" s="38"/>
    </row>
    <row r="35" spans="1:8" ht="12.75">
      <c r="A35" s="20"/>
      <c r="B35" s="20"/>
      <c r="C35" s="18"/>
      <c r="D35" s="18"/>
      <c r="E35" s="18"/>
      <c r="F35" s="18"/>
      <c r="G35" s="18"/>
      <c r="H35" s="36"/>
    </row>
    <row r="36" spans="1:10" ht="12.75">
      <c r="A36" s="108" t="s">
        <v>62</v>
      </c>
      <c r="B36" s="108"/>
      <c r="C36" s="108"/>
      <c r="D36" s="109" t="s">
        <v>63</v>
      </c>
      <c r="E36" s="109"/>
      <c r="F36" s="109"/>
      <c r="G36" s="109"/>
      <c r="H36" s="109"/>
      <c r="I36" s="109"/>
      <c r="J36" s="109"/>
    </row>
    <row r="37" spans="6:10" ht="12.75">
      <c r="F37" s="110" t="s">
        <v>64</v>
      </c>
      <c r="G37" s="110"/>
      <c r="H37" s="110"/>
      <c r="I37" s="110"/>
      <c r="J37" s="110"/>
    </row>
    <row r="38" spans="1:11" ht="36" customHeight="1">
      <c r="A38" s="106" t="s">
        <v>65</v>
      </c>
      <c r="B38" s="106"/>
      <c r="C38" s="106"/>
      <c r="D38" s="106"/>
      <c r="E38" s="106" t="s">
        <v>66</v>
      </c>
      <c r="F38" s="74" t="s">
        <v>67</v>
      </c>
      <c r="G38" s="74"/>
      <c r="H38" s="111" t="s">
        <v>68</v>
      </c>
      <c r="I38" s="74" t="s">
        <v>69</v>
      </c>
      <c r="J38" s="74" t="s">
        <v>70</v>
      </c>
      <c r="K38" s="21"/>
    </row>
    <row r="39" spans="1:11" ht="51" customHeight="1">
      <c r="A39" s="106"/>
      <c r="B39" s="106"/>
      <c r="C39" s="106"/>
      <c r="D39" s="106"/>
      <c r="E39" s="106"/>
      <c r="F39" s="19" t="s">
        <v>71</v>
      </c>
      <c r="G39" s="14" t="s">
        <v>72</v>
      </c>
      <c r="H39" s="111"/>
      <c r="I39" s="74"/>
      <c r="J39" s="74"/>
      <c r="K39" s="21"/>
    </row>
    <row r="40" spans="1:10" s="24" customFormat="1" ht="12.75">
      <c r="A40" s="107" t="s">
        <v>44</v>
      </c>
      <c r="B40" s="107"/>
      <c r="C40" s="107"/>
      <c r="D40" s="107"/>
      <c r="E40" s="15"/>
      <c r="F40" s="22"/>
      <c r="G40" s="15"/>
      <c r="H40" s="37"/>
      <c r="I40" s="8"/>
      <c r="J40" s="23"/>
    </row>
    <row r="41" spans="1:10" s="24" customFormat="1" ht="12.75">
      <c r="A41" s="107" t="s">
        <v>73</v>
      </c>
      <c r="B41" s="107"/>
      <c r="C41" s="107"/>
      <c r="D41" s="107"/>
      <c r="E41" s="15"/>
      <c r="F41" s="22"/>
      <c r="G41" s="15"/>
      <c r="H41" s="27"/>
      <c r="I41" s="8"/>
      <c r="J41" s="23"/>
    </row>
    <row r="42" spans="1:11" s="24" customFormat="1" ht="12.75">
      <c r="A42" s="103" t="s">
        <v>74</v>
      </c>
      <c r="B42" s="103"/>
      <c r="C42" s="103"/>
      <c r="D42" s="103"/>
      <c r="E42" s="15" t="s">
        <v>75</v>
      </c>
      <c r="F42" s="22">
        <f>C13</f>
        <v>1204</v>
      </c>
      <c r="G42" s="8">
        <v>3</v>
      </c>
      <c r="H42" s="27">
        <v>0.012</v>
      </c>
      <c r="I42" s="25">
        <f aca="true" t="shared" si="1" ref="I42:I47">9716.67/21/8</f>
        <v>57.83732142857143</v>
      </c>
      <c r="J42" s="23">
        <f aca="true" t="shared" si="2" ref="J42:J47">F42*H42*I42*G42</f>
        <v>2506.90086</v>
      </c>
      <c r="K42" s="26"/>
    </row>
    <row r="43" spans="1:11" s="24" customFormat="1" ht="28.5" customHeight="1">
      <c r="A43" s="103" t="s">
        <v>76</v>
      </c>
      <c r="B43" s="103"/>
      <c r="C43" s="103"/>
      <c r="D43" s="103"/>
      <c r="E43" s="15" t="s">
        <v>75</v>
      </c>
      <c r="F43" s="22">
        <f>G8*4</f>
        <v>2108</v>
      </c>
      <c r="G43" s="8">
        <v>2</v>
      </c>
      <c r="H43" s="27">
        <v>0.012</v>
      </c>
      <c r="I43" s="25">
        <f t="shared" si="1"/>
        <v>57.83732142857143</v>
      </c>
      <c r="J43" s="23">
        <f t="shared" si="2"/>
        <v>2926.1057657142856</v>
      </c>
      <c r="K43" s="26"/>
    </row>
    <row r="44" spans="1:11" s="24" customFormat="1" ht="26.25" customHeight="1">
      <c r="A44" s="103" t="s">
        <v>77</v>
      </c>
      <c r="B44" s="103"/>
      <c r="C44" s="103"/>
      <c r="D44" s="103"/>
      <c r="E44" s="15" t="s">
        <v>75</v>
      </c>
      <c r="F44" s="22">
        <f>F3*2.5+F42</f>
        <v>1214</v>
      </c>
      <c r="G44" s="8">
        <v>4</v>
      </c>
      <c r="H44" s="27">
        <v>0.012</v>
      </c>
      <c r="I44" s="25">
        <f t="shared" si="1"/>
        <v>57.83732142857143</v>
      </c>
      <c r="J44" s="23">
        <f t="shared" si="2"/>
        <v>3370.296394285714</v>
      </c>
      <c r="K44" s="26"/>
    </row>
    <row r="45" spans="1:11" s="24" customFormat="1" ht="12.75" customHeight="1">
      <c r="A45" s="103" t="s">
        <v>78</v>
      </c>
      <c r="B45" s="103"/>
      <c r="C45" s="103"/>
      <c r="D45" s="103"/>
      <c r="E45" s="15" t="s">
        <v>75</v>
      </c>
      <c r="F45" s="22">
        <f>F44</f>
        <v>1214</v>
      </c>
      <c r="G45" s="8">
        <v>4</v>
      </c>
      <c r="H45" s="27">
        <v>0.03</v>
      </c>
      <c r="I45" s="25">
        <f t="shared" si="1"/>
        <v>57.83732142857143</v>
      </c>
      <c r="J45" s="23">
        <f t="shared" si="2"/>
        <v>8425.740985714287</v>
      </c>
      <c r="K45" s="26"/>
    </row>
    <row r="46" spans="1:11" s="24" customFormat="1" ht="12.75" customHeight="1">
      <c r="A46" s="103" t="s">
        <v>79</v>
      </c>
      <c r="B46" s="103"/>
      <c r="C46" s="103"/>
      <c r="D46" s="103"/>
      <c r="E46" s="15" t="s">
        <v>75</v>
      </c>
      <c r="F46" s="22">
        <f>C11+C12</f>
        <v>1650</v>
      </c>
      <c r="G46" s="8">
        <v>2</v>
      </c>
      <c r="H46" s="27">
        <v>0.012</v>
      </c>
      <c r="I46" s="25">
        <f t="shared" si="1"/>
        <v>57.83732142857143</v>
      </c>
      <c r="J46" s="23">
        <f t="shared" si="2"/>
        <v>2290.3579285714286</v>
      </c>
      <c r="K46" s="26"/>
    </row>
    <row r="47" spans="1:11" s="24" customFormat="1" ht="26.25" customHeight="1">
      <c r="A47" s="103" t="s">
        <v>80</v>
      </c>
      <c r="B47" s="103"/>
      <c r="C47" s="103"/>
      <c r="D47" s="103"/>
      <c r="E47" s="15" t="s">
        <v>75</v>
      </c>
      <c r="F47" s="22">
        <f>C8</f>
        <v>3263.9</v>
      </c>
      <c r="G47" s="8">
        <v>2</v>
      </c>
      <c r="H47" s="27">
        <v>0.024</v>
      </c>
      <c r="I47" s="25">
        <f t="shared" si="1"/>
        <v>57.83732142857143</v>
      </c>
      <c r="J47" s="23">
        <f t="shared" si="2"/>
        <v>9061.211203714287</v>
      </c>
      <c r="K47" s="26"/>
    </row>
    <row r="48" spans="1:11" s="24" customFormat="1" ht="12.75" customHeight="1">
      <c r="A48" s="112" t="s">
        <v>81</v>
      </c>
      <c r="B48" s="112"/>
      <c r="C48" s="112"/>
      <c r="D48" s="112"/>
      <c r="E48" s="15"/>
      <c r="F48" s="22"/>
      <c r="G48" s="8"/>
      <c r="H48" s="27"/>
      <c r="I48" s="25"/>
      <c r="J48" s="23">
        <f>SUM(J42:J47)</f>
        <v>28580.613138</v>
      </c>
      <c r="K48" s="26"/>
    </row>
    <row r="49" spans="1:11" s="24" customFormat="1" ht="12.75" customHeight="1">
      <c r="A49" s="107" t="s">
        <v>82</v>
      </c>
      <c r="B49" s="107"/>
      <c r="C49" s="107"/>
      <c r="D49" s="107"/>
      <c r="E49" s="15"/>
      <c r="F49" s="22"/>
      <c r="G49" s="8"/>
      <c r="H49" s="27"/>
      <c r="I49" s="25"/>
      <c r="J49" s="23"/>
      <c r="K49" s="26"/>
    </row>
    <row r="50" spans="1:11" s="24" customFormat="1" ht="39" customHeight="1">
      <c r="A50" s="103" t="s">
        <v>83</v>
      </c>
      <c r="B50" s="103"/>
      <c r="C50" s="103"/>
      <c r="D50" s="103"/>
      <c r="E50" s="15" t="s">
        <v>84</v>
      </c>
      <c r="F50" s="27">
        <f>C9/1000</f>
        <v>2.2805999999999997</v>
      </c>
      <c r="G50" s="8">
        <v>1</v>
      </c>
      <c r="H50" s="27">
        <v>10</v>
      </c>
      <c r="I50" s="25">
        <f>9716.67/21/8</f>
        <v>57.83732142857143</v>
      </c>
      <c r="J50" s="23">
        <f aca="true" t="shared" si="3" ref="J50:J62">F50*H50*I50*G50</f>
        <v>1319.0379524999998</v>
      </c>
      <c r="K50" s="26"/>
    </row>
    <row r="51" spans="1:11" s="24" customFormat="1" ht="26.25" customHeight="1">
      <c r="A51" s="103" t="s">
        <v>85</v>
      </c>
      <c r="B51" s="103"/>
      <c r="C51" s="103"/>
      <c r="D51" s="103"/>
      <c r="E51" s="15" t="s">
        <v>86</v>
      </c>
      <c r="F51" s="27">
        <f>(C11+C12)/1000</f>
        <v>1.65</v>
      </c>
      <c r="G51" s="8">
        <v>5</v>
      </c>
      <c r="H51" s="27">
        <v>4</v>
      </c>
      <c r="I51" s="25">
        <f aca="true" t="shared" si="4" ref="I51:I62">9716.67/21/8</f>
        <v>57.83732142857143</v>
      </c>
      <c r="J51" s="23">
        <f t="shared" si="3"/>
        <v>1908.6316071428569</v>
      </c>
      <c r="K51" s="26"/>
    </row>
    <row r="52" spans="1:11" s="24" customFormat="1" ht="26.25" customHeight="1">
      <c r="A52" s="103" t="s">
        <v>87</v>
      </c>
      <c r="B52" s="103"/>
      <c r="C52" s="103"/>
      <c r="D52" s="103"/>
      <c r="E52" s="15" t="s">
        <v>88</v>
      </c>
      <c r="F52" s="27">
        <f>F2*F3/100</f>
        <v>0.2</v>
      </c>
      <c r="G52" s="8">
        <v>2</v>
      </c>
      <c r="H52" s="27">
        <v>9</v>
      </c>
      <c r="I52" s="25">
        <f t="shared" si="4"/>
        <v>57.83732142857143</v>
      </c>
      <c r="J52" s="23">
        <f t="shared" si="3"/>
        <v>208.21435714285715</v>
      </c>
      <c r="K52" s="26"/>
    </row>
    <row r="53" spans="1:11" s="24" customFormat="1" ht="26.25" customHeight="1">
      <c r="A53" s="103" t="s">
        <v>89</v>
      </c>
      <c r="B53" s="103"/>
      <c r="C53" s="103"/>
      <c r="D53" s="103"/>
      <c r="E53" s="15" t="s">
        <v>90</v>
      </c>
      <c r="F53" s="22">
        <f>F3</f>
        <v>4</v>
      </c>
      <c r="G53" s="8">
        <v>2</v>
      </c>
      <c r="H53" s="27">
        <v>0.5</v>
      </c>
      <c r="I53" s="25">
        <f t="shared" si="4"/>
        <v>57.83732142857143</v>
      </c>
      <c r="J53" s="23">
        <f>F53*H53*I53*G53</f>
        <v>231.3492857142857</v>
      </c>
      <c r="K53" s="26"/>
    </row>
    <row r="54" spans="1:11" s="24" customFormat="1" ht="39.75" customHeight="1">
      <c r="A54" s="103" t="s">
        <v>91</v>
      </c>
      <c r="B54" s="103"/>
      <c r="C54" s="103"/>
      <c r="D54" s="103"/>
      <c r="E54" s="15" t="s">
        <v>92</v>
      </c>
      <c r="F54" s="27">
        <f>J3/100</f>
        <v>1.712</v>
      </c>
      <c r="G54" s="8">
        <v>1</v>
      </c>
      <c r="H54" s="27">
        <v>1.42</v>
      </c>
      <c r="I54" s="25">
        <f t="shared" si="4"/>
        <v>57.83732142857143</v>
      </c>
      <c r="J54" s="23">
        <f t="shared" si="3"/>
        <v>140.60484188571428</v>
      </c>
      <c r="K54" s="26"/>
    </row>
    <row r="55" spans="1:11" s="24" customFormat="1" ht="26.25" customHeight="1">
      <c r="A55" s="103" t="s">
        <v>93</v>
      </c>
      <c r="B55" s="103"/>
      <c r="C55" s="103"/>
      <c r="D55" s="103"/>
      <c r="E55" s="15" t="s">
        <v>92</v>
      </c>
      <c r="F55" s="53">
        <f>J3/100</f>
        <v>1.712</v>
      </c>
      <c r="G55" s="8">
        <v>1</v>
      </c>
      <c r="H55" s="27">
        <v>1.42</v>
      </c>
      <c r="I55" s="25">
        <f t="shared" si="4"/>
        <v>57.83732142857143</v>
      </c>
      <c r="J55" s="23">
        <f t="shared" si="3"/>
        <v>140.60484188571428</v>
      </c>
      <c r="K55" s="26"/>
    </row>
    <row r="56" spans="1:11" s="24" customFormat="1" ht="26.25" customHeight="1">
      <c r="A56" s="103" t="s">
        <v>94</v>
      </c>
      <c r="B56" s="103"/>
      <c r="C56" s="103"/>
      <c r="D56" s="103"/>
      <c r="E56" s="15" t="s">
        <v>92</v>
      </c>
      <c r="F56" s="53">
        <f>J3/100</f>
        <v>1.712</v>
      </c>
      <c r="G56" s="8">
        <v>2</v>
      </c>
      <c r="H56" s="27">
        <v>3.1</v>
      </c>
      <c r="I56" s="25">
        <f t="shared" si="4"/>
        <v>57.83732142857143</v>
      </c>
      <c r="J56" s="23">
        <f t="shared" si="3"/>
        <v>613.9084645714286</v>
      </c>
      <c r="K56" s="26"/>
    </row>
    <row r="57" spans="1:11" s="24" customFormat="1" ht="26.25" customHeight="1">
      <c r="A57" s="103" t="s">
        <v>172</v>
      </c>
      <c r="B57" s="103"/>
      <c r="C57" s="103"/>
      <c r="D57" s="103"/>
      <c r="E57" s="15" t="s">
        <v>96</v>
      </c>
      <c r="F57" s="53">
        <f>J3/100</f>
        <v>1.712</v>
      </c>
      <c r="G57" s="8">
        <v>2</v>
      </c>
      <c r="H57" s="27">
        <v>3.3</v>
      </c>
      <c r="I57" s="25">
        <f t="shared" si="4"/>
        <v>57.83732142857143</v>
      </c>
      <c r="J57" s="23">
        <f t="shared" si="3"/>
        <v>653.5154622857142</v>
      </c>
      <c r="K57" s="26"/>
    </row>
    <row r="58" spans="1:11" s="24" customFormat="1" ht="26.25" customHeight="1">
      <c r="A58" s="103" t="s">
        <v>97</v>
      </c>
      <c r="B58" s="103"/>
      <c r="C58" s="103"/>
      <c r="D58" s="103"/>
      <c r="E58" s="15" t="s">
        <v>86</v>
      </c>
      <c r="F58" s="53">
        <f>(C8-C9)/1000</f>
        <v>0.9833000000000002</v>
      </c>
      <c r="G58" s="8">
        <v>1</v>
      </c>
      <c r="H58" s="27">
        <v>4</v>
      </c>
      <c r="I58" s="25">
        <f t="shared" si="4"/>
        <v>57.83732142857143</v>
      </c>
      <c r="J58" s="23">
        <f t="shared" si="3"/>
        <v>227.4857526428572</v>
      </c>
      <c r="K58" s="26"/>
    </row>
    <row r="59" spans="1:11" s="24" customFormat="1" ht="41.25" customHeight="1">
      <c r="A59" s="130" t="s">
        <v>98</v>
      </c>
      <c r="B59" s="130"/>
      <c r="C59" s="130"/>
      <c r="D59" s="130"/>
      <c r="E59" s="15" t="s">
        <v>99</v>
      </c>
      <c r="F59" s="52">
        <v>294.5</v>
      </c>
      <c r="G59" s="8">
        <v>1</v>
      </c>
      <c r="H59" s="27">
        <v>0.87</v>
      </c>
      <c r="I59" s="25">
        <f t="shared" si="4"/>
        <v>57.83732142857143</v>
      </c>
      <c r="J59" s="23">
        <f t="shared" si="3"/>
        <v>14818.789309821426</v>
      </c>
      <c r="K59" s="26"/>
    </row>
    <row r="60" spans="1:11" s="24" customFormat="1" ht="26.25" customHeight="1">
      <c r="A60" s="103" t="s">
        <v>100</v>
      </c>
      <c r="B60" s="103"/>
      <c r="C60" s="103"/>
      <c r="D60" s="103"/>
      <c r="E60" s="15" t="s">
        <v>96</v>
      </c>
      <c r="F60" s="27">
        <f>J3/100</f>
        <v>1.712</v>
      </c>
      <c r="G60" s="8">
        <v>1</v>
      </c>
      <c r="H60" s="27">
        <v>3.3</v>
      </c>
      <c r="I60" s="25">
        <f t="shared" si="4"/>
        <v>57.83732142857143</v>
      </c>
      <c r="J60" s="23">
        <f t="shared" si="3"/>
        <v>326.7577311428571</v>
      </c>
      <c r="K60" s="26"/>
    </row>
    <row r="61" spans="1:11" s="24" customFormat="1" ht="26.25" customHeight="1">
      <c r="A61" s="103" t="s">
        <v>101</v>
      </c>
      <c r="B61" s="103"/>
      <c r="C61" s="103"/>
      <c r="D61" s="103"/>
      <c r="E61" s="15" t="s">
        <v>102</v>
      </c>
      <c r="F61" s="22">
        <f>F3</f>
        <v>4</v>
      </c>
      <c r="G61" s="8">
        <v>1</v>
      </c>
      <c r="H61" s="27">
        <v>0.56</v>
      </c>
      <c r="I61" s="25">
        <f t="shared" si="4"/>
        <v>57.83732142857143</v>
      </c>
      <c r="J61" s="23">
        <f t="shared" si="3"/>
        <v>129.5556</v>
      </c>
      <c r="K61" s="26"/>
    </row>
    <row r="62" spans="1:11" s="24" customFormat="1" ht="50.25" customHeight="1">
      <c r="A62" s="103" t="s">
        <v>103</v>
      </c>
      <c r="B62" s="103"/>
      <c r="C62" s="103"/>
      <c r="D62" s="103"/>
      <c r="E62" s="15" t="s">
        <v>84</v>
      </c>
      <c r="F62" s="27">
        <f>C9/1000</f>
        <v>2.2805999999999997</v>
      </c>
      <c r="G62" s="8">
        <v>1</v>
      </c>
      <c r="H62" s="27">
        <v>10</v>
      </c>
      <c r="I62" s="25">
        <f t="shared" si="4"/>
        <v>57.83732142857143</v>
      </c>
      <c r="J62" s="23">
        <f t="shared" si="3"/>
        <v>1319.0379524999998</v>
      </c>
      <c r="K62" s="26"/>
    </row>
    <row r="63" spans="1:11" s="24" customFormat="1" ht="12.75" customHeight="1">
      <c r="A63" s="103" t="s">
        <v>81</v>
      </c>
      <c r="B63" s="103"/>
      <c r="C63" s="103"/>
      <c r="D63" s="103"/>
      <c r="E63" s="15"/>
      <c r="F63" s="22"/>
      <c r="G63" s="8"/>
      <c r="H63" s="27"/>
      <c r="I63" s="8"/>
      <c r="J63" s="23">
        <f>SUM(J50:J62)</f>
        <v>22037.49315923571</v>
      </c>
      <c r="K63" s="26"/>
    </row>
    <row r="64" spans="1:11" s="24" customFormat="1" ht="12.75" customHeight="1">
      <c r="A64" s="107" t="s">
        <v>104</v>
      </c>
      <c r="B64" s="107"/>
      <c r="C64" s="107"/>
      <c r="D64" s="107"/>
      <c r="E64" s="15"/>
      <c r="F64" s="22"/>
      <c r="G64" s="8"/>
      <c r="H64" s="27"/>
      <c r="I64" s="8"/>
      <c r="J64" s="23"/>
      <c r="K64" s="26"/>
    </row>
    <row r="65" spans="1:11" s="24" customFormat="1" ht="39" customHeight="1">
      <c r="A65" s="103" t="s">
        <v>176</v>
      </c>
      <c r="B65" s="103"/>
      <c r="C65" s="103"/>
      <c r="D65" s="103"/>
      <c r="E65" s="15" t="s">
        <v>75</v>
      </c>
      <c r="F65" s="27">
        <f>G8/F2*3</f>
        <v>316.20000000000005</v>
      </c>
      <c r="G65" s="8">
        <v>365</v>
      </c>
      <c r="H65" s="27">
        <f>0.81/60</f>
        <v>0.013500000000000002</v>
      </c>
      <c r="I65" s="27">
        <f>4636.3/21/8</f>
        <v>27.59702380952381</v>
      </c>
      <c r="J65" s="23">
        <f aca="true" t="shared" si="5" ref="J65:J76">F65*H65*I65*G65</f>
        <v>42998.24667053573</v>
      </c>
      <c r="K65" s="26"/>
    </row>
    <row r="66" spans="1:11" s="24" customFormat="1" ht="39" customHeight="1">
      <c r="A66" s="103" t="s">
        <v>178</v>
      </c>
      <c r="B66" s="103"/>
      <c r="C66" s="103"/>
      <c r="D66" s="103"/>
      <c r="E66" s="15" t="s">
        <v>75</v>
      </c>
      <c r="F66" s="27">
        <f>G8/F2*(F2-3)</f>
        <v>210.8</v>
      </c>
      <c r="G66" s="8">
        <v>104</v>
      </c>
      <c r="H66" s="27">
        <f>0.71/60</f>
        <v>0.011833333333333333</v>
      </c>
      <c r="I66" s="27">
        <f aca="true" t="shared" si="6" ref="I66:I77">4636.3/21/8</f>
        <v>27.59702380952381</v>
      </c>
      <c r="J66" s="23">
        <f t="shared" si="5"/>
        <v>7159.345023174605</v>
      </c>
      <c r="K66" s="26"/>
    </row>
    <row r="67" spans="1:11" s="24" customFormat="1" ht="26.25" customHeight="1">
      <c r="A67" s="103" t="s">
        <v>179</v>
      </c>
      <c r="B67" s="103"/>
      <c r="C67" s="103"/>
      <c r="D67" s="103"/>
      <c r="E67" s="15" t="s">
        <v>75</v>
      </c>
      <c r="F67" s="27">
        <f>G8/F2*3</f>
        <v>316.20000000000005</v>
      </c>
      <c r="G67" s="8">
        <v>24</v>
      </c>
      <c r="H67" s="27">
        <f>1.07/60</f>
        <v>0.017833333333333333</v>
      </c>
      <c r="I67" s="27">
        <f t="shared" si="6"/>
        <v>27.59702380952381</v>
      </c>
      <c r="J67" s="23">
        <f t="shared" si="5"/>
        <v>3734.8045814285715</v>
      </c>
      <c r="K67" s="26"/>
    </row>
    <row r="68" spans="1:11" s="24" customFormat="1" ht="26.25" customHeight="1">
      <c r="A68" s="103" t="s">
        <v>180</v>
      </c>
      <c r="B68" s="103"/>
      <c r="C68" s="103"/>
      <c r="D68" s="103"/>
      <c r="E68" s="15" t="s">
        <v>75</v>
      </c>
      <c r="F68" s="27">
        <f>G8/F2*(F2-3)</f>
        <v>210.8</v>
      </c>
      <c r="G68" s="8">
        <v>24</v>
      </c>
      <c r="H68" s="27">
        <f>0.82/60</f>
        <v>0.013666666666666666</v>
      </c>
      <c r="I68" s="27">
        <f t="shared" si="6"/>
        <v>27.59702380952381</v>
      </c>
      <c r="J68" s="23">
        <f t="shared" si="5"/>
        <v>1908.124459047619</v>
      </c>
      <c r="K68" s="26"/>
    </row>
    <row r="69" spans="1:11" s="24" customFormat="1" ht="12.75" customHeight="1">
      <c r="A69" s="103" t="s">
        <v>109</v>
      </c>
      <c r="B69" s="103"/>
      <c r="C69" s="103"/>
      <c r="D69" s="103"/>
      <c r="E69" s="15" t="s">
        <v>75</v>
      </c>
      <c r="F69" s="22">
        <f>F2*F3*1.5*2</f>
        <v>60</v>
      </c>
      <c r="G69" s="28">
        <v>2</v>
      </c>
      <c r="H69" s="25">
        <f>3.8/60</f>
        <v>0.06333333333333332</v>
      </c>
      <c r="I69" s="27">
        <f t="shared" si="6"/>
        <v>27.59702380952381</v>
      </c>
      <c r="J69" s="23">
        <f t="shared" si="5"/>
        <v>209.73738095238093</v>
      </c>
      <c r="K69" s="26"/>
    </row>
    <row r="70" spans="1:10" s="24" customFormat="1" ht="12.75" customHeight="1">
      <c r="A70" s="116" t="s">
        <v>110</v>
      </c>
      <c r="B70" s="116"/>
      <c r="C70" s="116"/>
      <c r="D70" s="116"/>
      <c r="E70" s="29" t="s">
        <v>75</v>
      </c>
      <c r="F70" s="30">
        <f>G9</f>
        <v>741</v>
      </c>
      <c r="G70" s="28">
        <v>2</v>
      </c>
      <c r="H70" s="25">
        <f>0.91/60</f>
        <v>0.015166666666666667</v>
      </c>
      <c r="I70" s="27">
        <f t="shared" si="6"/>
        <v>27.59702380952381</v>
      </c>
      <c r="J70" s="23">
        <f>F70*H70*I70*G70</f>
        <v>620.2983041666668</v>
      </c>
    </row>
    <row r="71" spans="1:11" s="24" customFormat="1" ht="26.25" customHeight="1">
      <c r="A71" s="103" t="s">
        <v>111</v>
      </c>
      <c r="B71" s="103"/>
      <c r="C71" s="103"/>
      <c r="D71" s="103"/>
      <c r="E71" s="15" t="s">
        <v>75</v>
      </c>
      <c r="F71" s="22">
        <f>G10</f>
        <v>1114</v>
      </c>
      <c r="G71" s="8">
        <v>91</v>
      </c>
      <c r="H71" s="27">
        <f>0.14/60</f>
        <v>0.0023333333333333335</v>
      </c>
      <c r="I71" s="27">
        <f t="shared" si="6"/>
        <v>27.59702380952381</v>
      </c>
      <c r="J71" s="23">
        <f t="shared" si="5"/>
        <v>6527.78161388889</v>
      </c>
      <c r="K71" s="26"/>
    </row>
    <row r="72" spans="1:11" s="24" customFormat="1" ht="12.75" customHeight="1">
      <c r="A72" s="103" t="s">
        <v>112</v>
      </c>
      <c r="B72" s="103"/>
      <c r="C72" s="103"/>
      <c r="D72" s="103"/>
      <c r="E72" s="15" t="s">
        <v>75</v>
      </c>
      <c r="F72" s="22">
        <f>G10</f>
        <v>1114</v>
      </c>
      <c r="G72" s="8">
        <v>91</v>
      </c>
      <c r="H72" s="27">
        <f>0.13/60</f>
        <v>0.0021666666666666666</v>
      </c>
      <c r="I72" s="27">
        <f t="shared" si="6"/>
        <v>27.59702380952381</v>
      </c>
      <c r="J72" s="23">
        <f t="shared" si="5"/>
        <v>6061.51149861111</v>
      </c>
      <c r="K72" s="26"/>
    </row>
    <row r="73" spans="1:11" s="24" customFormat="1" ht="26.25" customHeight="1">
      <c r="A73" s="103" t="s">
        <v>148</v>
      </c>
      <c r="B73" s="103"/>
      <c r="C73" s="103"/>
      <c r="D73" s="103"/>
      <c r="E73" s="15" t="s">
        <v>75</v>
      </c>
      <c r="F73" s="22">
        <f>G10</f>
        <v>1114</v>
      </c>
      <c r="G73" s="8">
        <v>365</v>
      </c>
      <c r="H73" s="27">
        <f>0.08/60</f>
        <v>0.0013333333333333333</v>
      </c>
      <c r="I73" s="27">
        <f t="shared" si="6"/>
        <v>27.59702380952381</v>
      </c>
      <c r="J73" s="23">
        <f t="shared" si="5"/>
        <v>14961.63446825397</v>
      </c>
      <c r="K73" s="26"/>
    </row>
    <row r="74" spans="1:11" s="24" customFormat="1" ht="12.75" customHeight="1">
      <c r="A74" s="103" t="s">
        <v>113</v>
      </c>
      <c r="B74" s="103"/>
      <c r="C74" s="103"/>
      <c r="D74" s="103"/>
      <c r="E74" s="15" t="s">
        <v>75</v>
      </c>
      <c r="F74" s="51">
        <v>10</v>
      </c>
      <c r="G74" s="8">
        <v>365</v>
      </c>
      <c r="H74" s="27">
        <f>1.46/60</f>
        <v>0.024333333333333332</v>
      </c>
      <c r="I74" s="27">
        <f t="shared" si="6"/>
        <v>27.59702380952381</v>
      </c>
      <c r="J74" s="23">
        <f t="shared" si="5"/>
        <v>2451.07566468254</v>
      </c>
      <c r="K74" s="26"/>
    </row>
    <row r="75" spans="1:11" s="24" customFormat="1" ht="12.75" customHeight="1">
      <c r="A75" s="103" t="s">
        <v>114</v>
      </c>
      <c r="B75" s="103"/>
      <c r="C75" s="103"/>
      <c r="D75" s="103"/>
      <c r="E75" s="15" t="s">
        <v>115</v>
      </c>
      <c r="F75" s="22">
        <f>F3</f>
        <v>4</v>
      </c>
      <c r="G75" s="8">
        <v>365</v>
      </c>
      <c r="H75" s="27">
        <f>2.34/60</f>
        <v>0.039</v>
      </c>
      <c r="I75" s="27">
        <f t="shared" si="6"/>
        <v>27.59702380952381</v>
      </c>
      <c r="J75" s="23">
        <f t="shared" si="5"/>
        <v>1571.374535714286</v>
      </c>
      <c r="K75" s="26"/>
    </row>
    <row r="76" spans="1:11" s="24" customFormat="1" ht="12.75" customHeight="1">
      <c r="A76" s="103" t="s">
        <v>116</v>
      </c>
      <c r="B76" s="103"/>
      <c r="C76" s="103"/>
      <c r="D76" s="103"/>
      <c r="E76" s="15" t="s">
        <v>75</v>
      </c>
      <c r="F76" s="22">
        <f>G12</f>
        <v>369</v>
      </c>
      <c r="G76" s="8">
        <v>182</v>
      </c>
      <c r="H76" s="27">
        <f>0.077/60</f>
        <v>0.0012833333333333334</v>
      </c>
      <c r="I76" s="27">
        <f t="shared" si="6"/>
        <v>27.59702380952381</v>
      </c>
      <c r="J76" s="23">
        <f t="shared" si="5"/>
        <v>2378.47985375</v>
      </c>
      <c r="K76" s="26"/>
    </row>
    <row r="77" spans="1:11" s="24" customFormat="1" ht="12.75" customHeight="1">
      <c r="A77" s="103" t="s">
        <v>81</v>
      </c>
      <c r="B77" s="103"/>
      <c r="C77" s="103"/>
      <c r="D77" s="103"/>
      <c r="E77" s="15"/>
      <c r="F77" s="22"/>
      <c r="G77" s="8"/>
      <c r="H77" s="27"/>
      <c r="I77" s="27">
        <f t="shared" si="6"/>
        <v>27.59702380952381</v>
      </c>
      <c r="J77" s="23">
        <f>SUM(J65:J76)</f>
        <v>90582.41405420637</v>
      </c>
      <c r="K77" s="26"/>
    </row>
    <row r="78" spans="1:11" s="24" customFormat="1" ht="12.75">
      <c r="A78" s="107" t="s">
        <v>122</v>
      </c>
      <c r="B78" s="107"/>
      <c r="C78" s="107"/>
      <c r="D78" s="107"/>
      <c r="E78" s="15"/>
      <c r="F78" s="22"/>
      <c r="G78" s="15"/>
      <c r="H78" s="37"/>
      <c r="I78" s="8"/>
      <c r="J78" s="23"/>
      <c r="K78" s="26"/>
    </row>
    <row r="79" spans="1:11" s="24" customFormat="1" ht="12.75">
      <c r="A79" s="103" t="s">
        <v>123</v>
      </c>
      <c r="B79" s="103"/>
      <c r="C79" s="103"/>
      <c r="D79" s="103"/>
      <c r="E79" s="74"/>
      <c r="F79" s="74"/>
      <c r="G79" s="74"/>
      <c r="H79" s="74"/>
      <c r="I79" s="8"/>
      <c r="J79" s="23">
        <f>289094.02/216035.97*C8*0.4</f>
        <v>1747.0682717845555</v>
      </c>
      <c r="K79" s="26"/>
    </row>
    <row r="80" spans="1:11" s="24" customFormat="1" ht="12.75">
      <c r="A80" s="103" t="s">
        <v>124</v>
      </c>
      <c r="B80" s="103"/>
      <c r="C80" s="103"/>
      <c r="D80" s="103"/>
      <c r="E80" s="74"/>
      <c r="F80" s="74"/>
      <c r="G80" s="74"/>
      <c r="H80" s="74"/>
      <c r="I80" s="8"/>
      <c r="J80" s="23">
        <f>289094.02/216035.97*C8*0.6</f>
        <v>2620.602407676833</v>
      </c>
      <c r="K80" s="26"/>
    </row>
    <row r="81" spans="1:11" s="24" customFormat="1" ht="12.75">
      <c r="A81" s="113" t="s">
        <v>142</v>
      </c>
      <c r="B81" s="114"/>
      <c r="C81" s="114"/>
      <c r="D81" s="115"/>
      <c r="E81" s="76"/>
      <c r="F81" s="102"/>
      <c r="G81" s="102"/>
      <c r="H81" s="77"/>
      <c r="I81" s="40"/>
      <c r="J81" s="23">
        <f>4165419.84/216035.97*C8</f>
        <v>62931.713713119156</v>
      </c>
      <c r="K81" s="26"/>
    </row>
    <row r="82" spans="1:11" s="24" customFormat="1" ht="12.75">
      <c r="A82" s="103" t="s">
        <v>125</v>
      </c>
      <c r="B82" s="103"/>
      <c r="C82" s="103"/>
      <c r="D82" s="103"/>
      <c r="E82" s="74" t="s">
        <v>126</v>
      </c>
      <c r="F82" s="74"/>
      <c r="G82" s="74"/>
      <c r="H82" s="74"/>
      <c r="I82" s="8"/>
      <c r="J82" s="39">
        <f>1349416.8/216035.97*C8</f>
        <v>20387.167440310983</v>
      </c>
      <c r="K82" s="26"/>
    </row>
    <row r="83" spans="1:11" s="24" customFormat="1" ht="12.75">
      <c r="A83" s="103" t="s">
        <v>127</v>
      </c>
      <c r="B83" s="103"/>
      <c r="C83" s="103"/>
      <c r="D83" s="103"/>
      <c r="E83" s="74" t="s">
        <v>126</v>
      </c>
      <c r="F83" s="74"/>
      <c r="G83" s="74"/>
      <c r="H83" s="74"/>
      <c r="I83" s="8"/>
      <c r="J83" s="23">
        <f>(2857602.58)/216035.97*C8</f>
        <v>43173.037623605</v>
      </c>
      <c r="K83" s="26"/>
    </row>
    <row r="84" spans="1:11" s="24" customFormat="1" ht="12.75">
      <c r="A84" s="103" t="s">
        <v>129</v>
      </c>
      <c r="B84" s="103"/>
      <c r="C84" s="103"/>
      <c r="D84" s="103"/>
      <c r="E84" s="74" t="s">
        <v>130</v>
      </c>
      <c r="F84" s="74"/>
      <c r="G84" s="74"/>
      <c r="H84" s="74"/>
      <c r="I84" s="8"/>
      <c r="J84" s="23">
        <f>(111173.4)/216035.97*C8</f>
        <v>1679.622427043052</v>
      </c>
      <c r="K84" s="26"/>
    </row>
    <row r="85" spans="1:11" s="24" customFormat="1" ht="12.75">
      <c r="A85" s="103" t="s">
        <v>131</v>
      </c>
      <c r="B85" s="103"/>
      <c r="C85" s="103"/>
      <c r="D85" s="103"/>
      <c r="E85" s="74" t="s">
        <v>132</v>
      </c>
      <c r="F85" s="74"/>
      <c r="G85" s="74"/>
      <c r="H85" s="74"/>
      <c r="I85" s="8"/>
      <c r="J85" s="23">
        <f>155424.88/216035.97*C8</f>
        <v>2348.1796380112073</v>
      </c>
      <c r="K85" s="26"/>
    </row>
    <row r="86" spans="1:11" s="24" customFormat="1" ht="12.75">
      <c r="A86" s="103" t="s">
        <v>133</v>
      </c>
      <c r="B86" s="103"/>
      <c r="C86" s="103"/>
      <c r="D86" s="103"/>
      <c r="E86" s="74" t="s">
        <v>126</v>
      </c>
      <c r="F86" s="74"/>
      <c r="G86" s="74"/>
      <c r="H86" s="74"/>
      <c r="I86" s="8"/>
      <c r="J86" s="54">
        <f>(5784111.08)/216035.97*C8</f>
        <v>87387.11499761824</v>
      </c>
      <c r="K86" s="26"/>
    </row>
    <row r="87" spans="1:11" s="24" customFormat="1" ht="12.75">
      <c r="A87" s="103" t="s">
        <v>134</v>
      </c>
      <c r="B87" s="103"/>
      <c r="C87" s="103"/>
      <c r="D87" s="103"/>
      <c r="E87" s="74" t="s">
        <v>126</v>
      </c>
      <c r="F87" s="74"/>
      <c r="G87" s="74"/>
      <c r="H87" s="74"/>
      <c r="I87" s="8"/>
      <c r="J87" s="54">
        <f>534581.97/216035.97*C8</f>
        <v>8076.53508757361</v>
      </c>
      <c r="K87" s="26"/>
    </row>
    <row r="88" spans="1:11" s="24" customFormat="1" ht="12.75">
      <c r="A88" s="103" t="s">
        <v>135</v>
      </c>
      <c r="B88" s="103"/>
      <c r="C88" s="103"/>
      <c r="D88" s="103"/>
      <c r="E88" s="74"/>
      <c r="F88" s="74"/>
      <c r="G88" s="74"/>
      <c r="H88" s="74"/>
      <c r="I88" s="8"/>
      <c r="J88" s="54">
        <f>(5509343.39)/216035.97*C8</f>
        <v>83235.88840608811</v>
      </c>
      <c r="K88" s="26"/>
    </row>
    <row r="89" spans="1:11" s="24" customFormat="1" ht="12.75">
      <c r="A89" s="103" t="s">
        <v>136</v>
      </c>
      <c r="B89" s="103"/>
      <c r="C89" s="103"/>
      <c r="D89" s="103"/>
      <c r="E89" s="14"/>
      <c r="F89" s="14"/>
      <c r="G89" s="14"/>
      <c r="H89" s="35"/>
      <c r="I89" s="14"/>
      <c r="J89" s="39">
        <f>(33356+5808548.8+17323.44)/216035.97*C8</f>
        <v>88521.99498322433</v>
      </c>
      <c r="K89" s="26"/>
    </row>
    <row r="90" spans="1:11" s="24" customFormat="1" ht="12.75">
      <c r="A90" s="103" t="s">
        <v>81</v>
      </c>
      <c r="B90" s="103"/>
      <c r="C90" s="103"/>
      <c r="D90" s="103"/>
      <c r="E90" s="15"/>
      <c r="F90" s="15"/>
      <c r="G90" s="15"/>
      <c r="H90" s="37"/>
      <c r="I90" s="8"/>
      <c r="J90" s="23">
        <f>SUM(J79:J89)</f>
        <v>402108.9249960551</v>
      </c>
      <c r="K90" s="26"/>
    </row>
    <row r="91" spans="1:11" s="24" customFormat="1" ht="12.75" customHeight="1">
      <c r="A91" s="103" t="s">
        <v>137</v>
      </c>
      <c r="B91" s="103"/>
      <c r="C91" s="103"/>
      <c r="D91" s="103"/>
      <c r="E91" s="15"/>
      <c r="F91" s="22"/>
      <c r="G91" s="15"/>
      <c r="H91" s="37"/>
      <c r="I91" s="8"/>
      <c r="J91" s="23">
        <f>J48+J63+J77+J90</f>
        <v>543309.4453474971</v>
      </c>
      <c r="K91" s="26"/>
    </row>
    <row r="92" spans="1:11" ht="12.75">
      <c r="A92" s="81" t="s">
        <v>138</v>
      </c>
      <c r="B92" s="81"/>
      <c r="C92" s="81"/>
      <c r="D92" s="81"/>
      <c r="E92" s="81"/>
      <c r="F92" s="81"/>
      <c r="G92" s="81"/>
      <c r="H92" s="81"/>
      <c r="I92" s="81"/>
      <c r="J92" s="31">
        <f>J91*0.05</f>
        <v>27165.47226737486</v>
      </c>
      <c r="K92" s="26"/>
    </row>
    <row r="93" spans="1:11" ht="12.75">
      <c r="A93" s="81" t="s">
        <v>139</v>
      </c>
      <c r="B93" s="81"/>
      <c r="C93" s="81"/>
      <c r="D93" s="81"/>
      <c r="E93" s="81"/>
      <c r="F93" s="81"/>
      <c r="G93" s="81"/>
      <c r="H93" s="81"/>
      <c r="I93" s="81"/>
      <c r="J93" s="16">
        <f>J91+J92</f>
        <v>570474.917614872</v>
      </c>
      <c r="K93" s="26"/>
    </row>
    <row r="94" spans="1:11" ht="12.75">
      <c r="A94" s="81" t="s">
        <v>140</v>
      </c>
      <c r="B94" s="81"/>
      <c r="C94" s="81"/>
      <c r="D94" s="81"/>
      <c r="E94" s="81"/>
      <c r="F94" s="81"/>
      <c r="G94" s="81"/>
      <c r="H94" s="81"/>
      <c r="I94" s="81"/>
      <c r="J94" s="31">
        <f>J93*0.18</f>
        <v>102685.48517067696</v>
      </c>
      <c r="K94" s="26"/>
    </row>
    <row r="95" spans="1:11" ht="12.75">
      <c r="A95" s="81" t="s">
        <v>141</v>
      </c>
      <c r="B95" s="81"/>
      <c r="C95" s="81"/>
      <c r="D95" s="81"/>
      <c r="E95" s="81"/>
      <c r="F95" s="81"/>
      <c r="G95" s="81"/>
      <c r="H95" s="81"/>
      <c r="I95" s="81"/>
      <c r="J95" s="32">
        <f>J94+J93</f>
        <v>673160.4027855489</v>
      </c>
      <c r="K95" s="33"/>
    </row>
    <row r="96" spans="1:11" ht="12.75">
      <c r="A96" s="41"/>
      <c r="B96" s="41"/>
      <c r="C96" s="41"/>
      <c r="D96" s="41"/>
      <c r="E96" s="41"/>
      <c r="F96" s="41"/>
      <c r="G96" s="41"/>
      <c r="H96" s="41"/>
      <c r="I96" s="41"/>
      <c r="J96" s="42"/>
      <c r="K96" s="33"/>
    </row>
    <row r="97" spans="1:11" ht="15">
      <c r="A97" s="47" t="s">
        <v>149</v>
      </c>
      <c r="B97" s="45"/>
      <c r="C97" s="45"/>
      <c r="D97" s="45"/>
      <c r="E97" s="45"/>
      <c r="F97" s="45"/>
      <c r="G97" s="45"/>
      <c r="H97" s="46"/>
      <c r="I97" s="41"/>
      <c r="J97" s="42"/>
      <c r="K97" s="33"/>
    </row>
    <row r="98" spans="1:11" ht="27" customHeight="1">
      <c r="A98" s="117" t="s">
        <v>152</v>
      </c>
      <c r="B98" s="118"/>
      <c r="C98" s="117" t="s">
        <v>153</v>
      </c>
      <c r="D98" s="118"/>
      <c r="E98" s="117" t="s">
        <v>150</v>
      </c>
      <c r="F98" s="118"/>
      <c r="G98" s="117" t="s">
        <v>151</v>
      </c>
      <c r="H98" s="118"/>
      <c r="I98" s="41"/>
      <c r="J98" s="42"/>
      <c r="K98" s="33"/>
    </row>
    <row r="99" spans="1:11" ht="12.75">
      <c r="A99" s="124"/>
      <c r="B99" s="125"/>
      <c r="C99" s="104"/>
      <c r="D99" s="126"/>
      <c r="E99" s="119"/>
      <c r="F99" s="126"/>
      <c r="G99" s="119"/>
      <c r="H99" s="120"/>
      <c r="I99" s="41"/>
      <c r="J99" s="42"/>
      <c r="K99" s="33"/>
    </row>
    <row r="100" spans="1:11" ht="12.75">
      <c r="A100" s="41"/>
      <c r="B100" s="41"/>
      <c r="C100" s="41"/>
      <c r="D100" s="41"/>
      <c r="E100" s="41"/>
      <c r="F100" s="41"/>
      <c r="G100" s="41"/>
      <c r="H100" s="41"/>
      <c r="I100" s="41"/>
      <c r="J100" s="42"/>
      <c r="K100" s="33"/>
    </row>
    <row r="101" spans="1:11" ht="15">
      <c r="A101" s="47" t="s">
        <v>154</v>
      </c>
      <c r="B101" s="48"/>
      <c r="C101" s="48"/>
      <c r="D101" s="45"/>
      <c r="E101" s="45"/>
      <c r="F101" s="45"/>
      <c r="G101" s="45"/>
      <c r="H101" s="46"/>
      <c r="I101" s="41"/>
      <c r="J101" s="42"/>
      <c r="K101" s="33"/>
    </row>
    <row r="102" spans="1:11" ht="27" customHeight="1">
      <c r="A102" s="117" t="s">
        <v>155</v>
      </c>
      <c r="B102" s="118"/>
      <c r="C102" s="117" t="s">
        <v>156</v>
      </c>
      <c r="D102" s="118"/>
      <c r="E102" s="122" t="s">
        <v>157</v>
      </c>
      <c r="F102" s="122"/>
      <c r="G102" s="123"/>
      <c r="H102" s="123"/>
      <c r="I102" s="41"/>
      <c r="J102" s="42"/>
      <c r="K102" s="33"/>
    </row>
    <row r="103" spans="1:11" ht="27" customHeight="1">
      <c r="A103" s="124"/>
      <c r="B103" s="125"/>
      <c r="C103" s="128"/>
      <c r="D103" s="77"/>
      <c r="E103" s="129"/>
      <c r="F103" s="81"/>
      <c r="G103" s="121"/>
      <c r="H103" s="121"/>
      <c r="I103" s="41"/>
      <c r="J103" s="42"/>
      <c r="K103" s="33"/>
    </row>
    <row r="104" spans="1:11" ht="12.75">
      <c r="A104" s="41"/>
      <c r="B104" s="41"/>
      <c r="C104" s="41"/>
      <c r="D104" s="41"/>
      <c r="E104" s="41"/>
      <c r="F104" s="41"/>
      <c r="G104" s="41"/>
      <c r="H104" s="41"/>
      <c r="I104" s="41"/>
      <c r="J104" s="42"/>
      <c r="K104" s="33"/>
    </row>
    <row r="105" spans="1:11" ht="12.75">
      <c r="A105" s="127" t="s">
        <v>147</v>
      </c>
      <c r="B105" s="127"/>
      <c r="C105" s="127"/>
      <c r="D105" s="127"/>
      <c r="E105" s="127"/>
      <c r="F105" s="41"/>
      <c r="G105" s="41"/>
      <c r="H105" s="41"/>
      <c r="I105" s="41"/>
      <c r="J105" s="42"/>
      <c r="K105" s="33"/>
    </row>
    <row r="106" spans="1:11" ht="12.75">
      <c r="A106" s="127"/>
      <c r="B106" s="127"/>
      <c r="C106" s="127"/>
      <c r="D106" s="127"/>
      <c r="E106" s="127"/>
      <c r="F106" s="41"/>
      <c r="G106" s="41"/>
      <c r="H106" s="41"/>
      <c r="I106" s="41"/>
      <c r="J106" s="42"/>
      <c r="K106" s="33"/>
    </row>
    <row r="107" spans="1:11" ht="12.75">
      <c r="A107" s="41"/>
      <c r="B107" s="41"/>
      <c r="C107" s="41"/>
      <c r="D107" s="41"/>
      <c r="E107" s="41"/>
      <c r="F107" s="41"/>
      <c r="G107" s="41"/>
      <c r="H107" s="41"/>
      <c r="I107" s="41"/>
      <c r="J107" s="42"/>
      <c r="K107" s="33"/>
    </row>
    <row r="108" spans="1:11" ht="12.75">
      <c r="A108" s="44" t="s">
        <v>65</v>
      </c>
      <c r="B108" s="43" t="s">
        <v>143</v>
      </c>
      <c r="C108" s="43" t="s">
        <v>144</v>
      </c>
      <c r="D108" s="43" t="s">
        <v>145</v>
      </c>
      <c r="E108" s="55" t="s">
        <v>146</v>
      </c>
      <c r="F108" s="41"/>
      <c r="G108" s="41"/>
      <c r="H108" s="41"/>
      <c r="I108" s="41"/>
      <c r="J108" s="42"/>
      <c r="K108" s="33"/>
    </row>
  </sheetData>
  <sheetProtection/>
  <mergeCells count="163">
    <mergeCell ref="A105:E106"/>
    <mergeCell ref="A103:B103"/>
    <mergeCell ref="C103:D103"/>
    <mergeCell ref="E103:F103"/>
    <mergeCell ref="G99:H99"/>
    <mergeCell ref="G103:H103"/>
    <mergeCell ref="A102:B102"/>
    <mergeCell ref="C102:D102"/>
    <mergeCell ref="E102:F102"/>
    <mergeCell ref="G102:H102"/>
    <mergeCell ref="A99:B99"/>
    <mergeCell ref="C99:D99"/>
    <mergeCell ref="E99:F99"/>
    <mergeCell ref="A93:I93"/>
    <mergeCell ref="A94:I94"/>
    <mergeCell ref="A95:I95"/>
    <mergeCell ref="A98:B98"/>
    <mergeCell ref="C98:D98"/>
    <mergeCell ref="E98:F98"/>
    <mergeCell ref="G98:H98"/>
    <mergeCell ref="A92:I92"/>
    <mergeCell ref="A85:D85"/>
    <mergeCell ref="E85:H85"/>
    <mergeCell ref="A86:D86"/>
    <mergeCell ref="E86:H86"/>
    <mergeCell ref="A87:D87"/>
    <mergeCell ref="E87:H87"/>
    <mergeCell ref="A88:D88"/>
    <mergeCell ref="E88:H88"/>
    <mergeCell ref="A89:D89"/>
    <mergeCell ref="E82:H82"/>
    <mergeCell ref="A83:D83"/>
    <mergeCell ref="E83:H83"/>
    <mergeCell ref="A82:D82"/>
    <mergeCell ref="A91:D91"/>
    <mergeCell ref="A90:D90"/>
    <mergeCell ref="A84:D84"/>
    <mergeCell ref="E84:H84"/>
    <mergeCell ref="A78:D78"/>
    <mergeCell ref="A79:D79"/>
    <mergeCell ref="E79:H79"/>
    <mergeCell ref="A80:D80"/>
    <mergeCell ref="E80:H80"/>
    <mergeCell ref="A81:D81"/>
    <mergeCell ref="E81:H81"/>
    <mergeCell ref="A70:D70"/>
    <mergeCell ref="A71:D71"/>
    <mergeCell ref="A76:D76"/>
    <mergeCell ref="A77:D77"/>
    <mergeCell ref="A72:D72"/>
    <mergeCell ref="A73:D73"/>
    <mergeCell ref="A74:D74"/>
    <mergeCell ref="A75:D75"/>
    <mergeCell ref="A66:D66"/>
    <mergeCell ref="A67:D67"/>
    <mergeCell ref="A54:D54"/>
    <mergeCell ref="A55:D55"/>
    <mergeCell ref="A56:D56"/>
    <mergeCell ref="A57:D57"/>
    <mergeCell ref="A68:D68"/>
    <mergeCell ref="A69:D69"/>
    <mergeCell ref="A58:D58"/>
    <mergeCell ref="A59:D59"/>
    <mergeCell ref="A60:D60"/>
    <mergeCell ref="A61:D61"/>
    <mergeCell ref="A62:D62"/>
    <mergeCell ref="A63:D63"/>
    <mergeCell ref="A64:D64"/>
    <mergeCell ref="A65:D65"/>
    <mergeCell ref="A40:D40"/>
    <mergeCell ref="A41:D41"/>
    <mergeCell ref="A42:D42"/>
    <mergeCell ref="A43:D43"/>
    <mergeCell ref="A52:D52"/>
    <mergeCell ref="A53:D53"/>
    <mergeCell ref="A44:D44"/>
    <mergeCell ref="A45:D45"/>
    <mergeCell ref="A46:D46"/>
    <mergeCell ref="A47:D47"/>
    <mergeCell ref="A48:D48"/>
    <mergeCell ref="A49:D49"/>
    <mergeCell ref="A50:D50"/>
    <mergeCell ref="A51:D51"/>
    <mergeCell ref="A36:C36"/>
    <mergeCell ref="D36:J36"/>
    <mergeCell ref="A38:D39"/>
    <mergeCell ref="E38:E39"/>
    <mergeCell ref="F38:G38"/>
    <mergeCell ref="H38:H39"/>
    <mergeCell ref="I38:I39"/>
    <mergeCell ref="J38:J39"/>
    <mergeCell ref="F37:J37"/>
    <mergeCell ref="C32:E32"/>
    <mergeCell ref="F32:H32"/>
    <mergeCell ref="A32:B32"/>
    <mergeCell ref="A33:B33"/>
    <mergeCell ref="C33:E33"/>
    <mergeCell ref="F33:H33"/>
    <mergeCell ref="A34:B34"/>
    <mergeCell ref="C34:E34"/>
    <mergeCell ref="F34:H34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A20:B20"/>
    <mergeCell ref="C20:D20"/>
    <mergeCell ref="F20:G20"/>
    <mergeCell ref="C22:E22"/>
    <mergeCell ref="F22:H22"/>
    <mergeCell ref="A23:B23"/>
    <mergeCell ref="C23:E23"/>
    <mergeCell ref="F23:H23"/>
    <mergeCell ref="K14:K15"/>
    <mergeCell ref="I15:J15"/>
    <mergeCell ref="D14:F14"/>
    <mergeCell ref="A18:B19"/>
    <mergeCell ref="C18:E18"/>
    <mergeCell ref="F18:H18"/>
    <mergeCell ref="C19:D19"/>
    <mergeCell ref="F19:G19"/>
    <mergeCell ref="K10:K12"/>
    <mergeCell ref="D11:F11"/>
    <mergeCell ref="A12:B12"/>
    <mergeCell ref="D12:F12"/>
    <mergeCell ref="A13:B13"/>
    <mergeCell ref="D13:F13"/>
    <mergeCell ref="A11:B11"/>
    <mergeCell ref="A10:B10"/>
    <mergeCell ref="D10:F10"/>
    <mergeCell ref="I10:J12"/>
    <mergeCell ref="A9:B9"/>
    <mergeCell ref="D9:F9"/>
    <mergeCell ref="K7:K8"/>
    <mergeCell ref="A8:B8"/>
    <mergeCell ref="D8:F8"/>
    <mergeCell ref="A1:G1"/>
    <mergeCell ref="G3:G5"/>
    <mergeCell ref="H3:H5"/>
    <mergeCell ref="I4:J5"/>
    <mergeCell ref="I7:J8"/>
    <mergeCell ref="A7:B7"/>
    <mergeCell ref="D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73">
      <selection activeCell="N185" sqref="N185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3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41" t="s">
        <v>235</v>
      </c>
      <c r="B1" s="141"/>
      <c r="C1" s="141"/>
      <c r="D1" s="141"/>
      <c r="E1" s="141"/>
      <c r="F1" s="141"/>
      <c r="G1" s="141"/>
      <c r="I1"/>
    </row>
    <row r="2" spans="1:12" ht="12.75">
      <c r="A2" t="s">
        <v>0</v>
      </c>
      <c r="C2">
        <v>1992</v>
      </c>
      <c r="D2" t="s">
        <v>1</v>
      </c>
      <c r="F2">
        <v>16</v>
      </c>
      <c r="G2" t="s">
        <v>2</v>
      </c>
      <c r="H2" s="34">
        <v>142</v>
      </c>
      <c r="I2" s="2"/>
      <c r="J2" s="3" t="s">
        <v>221</v>
      </c>
      <c r="K2" s="2" t="s">
        <v>4</v>
      </c>
      <c r="L2" s="3" t="s">
        <v>5</v>
      </c>
    </row>
    <row r="3" spans="1:12" ht="12.75">
      <c r="A3" t="s">
        <v>6</v>
      </c>
      <c r="C3">
        <v>16</v>
      </c>
      <c r="D3" t="s">
        <v>7</v>
      </c>
      <c r="F3">
        <v>1</v>
      </c>
      <c r="G3" s="86" t="s">
        <v>8</v>
      </c>
      <c r="H3" s="89">
        <v>0</v>
      </c>
      <c r="I3" s="2" t="s">
        <v>9</v>
      </c>
      <c r="J3" s="2">
        <v>180</v>
      </c>
      <c r="K3" s="3" t="s">
        <v>184</v>
      </c>
      <c r="L3" s="3" t="s">
        <v>185</v>
      </c>
    </row>
    <row r="4" spans="1:12" ht="12.75">
      <c r="A4" t="s">
        <v>10</v>
      </c>
      <c r="C4" t="s">
        <v>158</v>
      </c>
      <c r="D4" t="s">
        <v>11</v>
      </c>
      <c r="F4" s="49" t="s">
        <v>159</v>
      </c>
      <c r="G4" s="87"/>
      <c r="H4" s="90"/>
      <c r="I4" s="92"/>
      <c r="J4" s="93"/>
      <c r="K4" s="3"/>
      <c r="L4" s="3" t="s">
        <v>186</v>
      </c>
    </row>
    <row r="5" spans="1:12" ht="12.75">
      <c r="A5" t="s">
        <v>12</v>
      </c>
      <c r="C5" t="s">
        <v>13</v>
      </c>
      <c r="D5" t="s">
        <v>14</v>
      </c>
      <c r="F5">
        <f>F3</f>
        <v>1</v>
      </c>
      <c r="G5" s="88"/>
      <c r="H5" s="91"/>
      <c r="I5" s="94"/>
      <c r="J5" s="95"/>
      <c r="K5" s="3"/>
      <c r="L5" s="4"/>
    </row>
    <row r="6" spans="9:12" ht="12.75">
      <c r="I6" s="2" t="s">
        <v>15</v>
      </c>
      <c r="J6" s="2">
        <v>236</v>
      </c>
      <c r="K6" s="4" t="s">
        <v>16</v>
      </c>
      <c r="L6" s="5" t="s">
        <v>187</v>
      </c>
    </row>
    <row r="7" spans="1:12" ht="12.75">
      <c r="A7" s="82" t="s">
        <v>17</v>
      </c>
      <c r="B7" s="84"/>
      <c r="C7" s="1" t="s">
        <v>18</v>
      </c>
      <c r="D7" s="82" t="s">
        <v>19</v>
      </c>
      <c r="E7" s="83"/>
      <c r="F7" s="84"/>
      <c r="G7" s="1" t="s">
        <v>18</v>
      </c>
      <c r="I7" s="92"/>
      <c r="J7" s="93"/>
      <c r="K7" s="138" t="s">
        <v>20</v>
      </c>
      <c r="L7" s="3" t="s">
        <v>188</v>
      </c>
    </row>
    <row r="8" spans="1:12" ht="12.75">
      <c r="A8" s="81" t="s">
        <v>21</v>
      </c>
      <c r="B8" s="81"/>
      <c r="C8">
        <v>6669.7</v>
      </c>
      <c r="D8" s="82" t="s">
        <v>22</v>
      </c>
      <c r="E8" s="83"/>
      <c r="F8" s="84"/>
      <c r="G8" s="50">
        <v>937.5</v>
      </c>
      <c r="I8" s="94"/>
      <c r="J8" s="95"/>
      <c r="K8" s="139"/>
      <c r="L8" s="3"/>
    </row>
    <row r="9" spans="1:12" ht="12.75">
      <c r="A9" s="81" t="s">
        <v>23</v>
      </c>
      <c r="B9" s="81"/>
      <c r="C9">
        <v>3654.2</v>
      </c>
      <c r="D9" s="82" t="s">
        <v>24</v>
      </c>
      <c r="E9" s="83"/>
      <c r="F9" s="84"/>
      <c r="G9" s="56">
        <v>16100</v>
      </c>
      <c r="I9" s="2" t="s">
        <v>25</v>
      </c>
      <c r="J9" s="2">
        <v>1178</v>
      </c>
      <c r="K9" s="3" t="s">
        <v>160</v>
      </c>
      <c r="L9" s="3" t="s">
        <v>190</v>
      </c>
    </row>
    <row r="10" spans="1:12" ht="12.75">
      <c r="A10" s="81" t="s">
        <v>26</v>
      </c>
      <c r="B10" s="81"/>
      <c r="C10" s="50">
        <v>3020</v>
      </c>
      <c r="D10" s="82" t="s">
        <v>27</v>
      </c>
      <c r="E10" s="83"/>
      <c r="F10" s="84"/>
      <c r="G10">
        <v>1647</v>
      </c>
      <c r="I10" s="96"/>
      <c r="J10" s="96"/>
      <c r="K10" s="138"/>
      <c r="L10" s="3" t="s">
        <v>189</v>
      </c>
    </row>
    <row r="11" spans="1:12" ht="12.75" customHeight="1">
      <c r="A11" s="81" t="s">
        <v>28</v>
      </c>
      <c r="B11" s="81"/>
      <c r="C11">
        <v>0</v>
      </c>
      <c r="D11" s="82" t="s">
        <v>29</v>
      </c>
      <c r="E11" s="83"/>
      <c r="F11" s="84"/>
      <c r="I11" s="96"/>
      <c r="J11" s="96"/>
      <c r="K11" s="140"/>
      <c r="L11" s="3"/>
    </row>
    <row r="12" spans="1:12" ht="12.75">
      <c r="A12" s="81" t="s">
        <v>30</v>
      </c>
      <c r="B12" s="81"/>
      <c r="C12" s="7">
        <v>446</v>
      </c>
      <c r="D12" s="82" t="s">
        <v>31</v>
      </c>
      <c r="E12" s="83"/>
      <c r="F12" s="84"/>
      <c r="G12">
        <v>943</v>
      </c>
      <c r="I12" s="96"/>
      <c r="J12" s="96"/>
      <c r="K12" s="140"/>
      <c r="L12" s="3"/>
    </row>
    <row r="13" spans="1:12" ht="12.75">
      <c r="A13" s="74" t="s">
        <v>32</v>
      </c>
      <c r="B13" s="74"/>
      <c r="C13" s="7">
        <v>634</v>
      </c>
      <c r="D13" s="82" t="s">
        <v>33</v>
      </c>
      <c r="E13" s="83"/>
      <c r="F13" s="84"/>
      <c r="G13">
        <v>115</v>
      </c>
      <c r="I13" s="5"/>
      <c r="J13" s="2" t="s">
        <v>221</v>
      </c>
      <c r="K13" s="2" t="s">
        <v>34</v>
      </c>
      <c r="L13" s="2" t="s">
        <v>35</v>
      </c>
    </row>
    <row r="14" spans="4:12" ht="12.75">
      <c r="D14" s="82" t="s">
        <v>36</v>
      </c>
      <c r="E14" s="83"/>
      <c r="F14" s="84"/>
      <c r="G14" s="9">
        <v>1303</v>
      </c>
      <c r="I14" s="2" t="s">
        <v>37</v>
      </c>
      <c r="J14" s="10">
        <v>180</v>
      </c>
      <c r="K14" s="136" t="s">
        <v>191</v>
      </c>
      <c r="L14" s="3"/>
    </row>
    <row r="15" spans="6:12" ht="12.75">
      <c r="F15" s="11" t="s">
        <v>39</v>
      </c>
      <c r="G15" s="64">
        <v>27.45</v>
      </c>
      <c r="I15" s="99"/>
      <c r="J15" s="100"/>
      <c r="K15" s="137"/>
      <c r="L15" s="3"/>
    </row>
    <row r="16" ht="12.75">
      <c r="B16" t="s">
        <v>277</v>
      </c>
    </row>
    <row r="18" spans="1:9" ht="39.75" customHeight="1">
      <c r="A18" s="101" t="s">
        <v>41</v>
      </c>
      <c r="B18" s="101"/>
      <c r="C18" s="74" t="s">
        <v>222</v>
      </c>
      <c r="D18" s="74"/>
      <c r="E18" s="74"/>
      <c r="F18" s="76" t="s">
        <v>43</v>
      </c>
      <c r="G18" s="102"/>
      <c r="H18" s="77"/>
      <c r="I18" s="13"/>
    </row>
    <row r="19" spans="1:8" ht="31.5" customHeight="1">
      <c r="A19" s="101"/>
      <c r="B19" s="101"/>
      <c r="C19" s="76" t="s">
        <v>44</v>
      </c>
      <c r="D19" s="77"/>
      <c r="E19" s="14" t="s">
        <v>45</v>
      </c>
      <c r="F19" s="76" t="s">
        <v>44</v>
      </c>
      <c r="G19" s="77"/>
      <c r="H19" s="35" t="s">
        <v>46</v>
      </c>
    </row>
    <row r="20" spans="1:8" ht="25.5" customHeight="1">
      <c r="A20" s="103" t="s">
        <v>47</v>
      </c>
      <c r="B20" s="103"/>
      <c r="C20" s="104">
        <f>C8*12*G15</f>
        <v>2196999.1799999997</v>
      </c>
      <c r="D20" s="105"/>
      <c r="E20" s="16">
        <f>(C9*1.3*6)+(C9*1.37*6)</f>
        <v>58540.284</v>
      </c>
      <c r="F20" s="104">
        <f>SUM(F23:H34)</f>
        <v>1995422.65</v>
      </c>
      <c r="G20" s="105"/>
      <c r="H20" s="65">
        <f>(F23+F24+F25+F26+F27+F28+F29+F30+F31)*100/(C25+C23+C24+C26+C27+C28+C29+C30+C31)</f>
        <v>86.74952804993353</v>
      </c>
    </row>
    <row r="21" spans="1:10" ht="12.75">
      <c r="A21" s="17"/>
      <c r="B21" s="17"/>
      <c r="C21" s="18"/>
      <c r="D21" s="18"/>
      <c r="E21" s="18"/>
      <c r="F21" s="17"/>
      <c r="G21" s="18"/>
      <c r="H21" s="18"/>
      <c r="I21" s="36"/>
      <c r="J21" s="1"/>
    </row>
    <row r="22" spans="1:9" ht="12.75">
      <c r="A22" s="15"/>
      <c r="B22" s="19"/>
      <c r="C22" s="74" t="s">
        <v>223</v>
      </c>
      <c r="D22" s="74"/>
      <c r="E22" s="74"/>
      <c r="F22" s="75" t="s">
        <v>49</v>
      </c>
      <c r="G22" s="75"/>
      <c r="H22" s="75"/>
      <c r="I22" s="16" t="s">
        <v>46</v>
      </c>
    </row>
    <row r="23" spans="1:9" ht="12.75">
      <c r="A23" s="74" t="s">
        <v>50</v>
      </c>
      <c r="B23" s="74"/>
      <c r="C23" s="75">
        <f>(C20+E20)/12</f>
        <v>187961.62199999997</v>
      </c>
      <c r="D23" s="75"/>
      <c r="E23" s="75"/>
      <c r="F23" s="75">
        <v>142465.4</v>
      </c>
      <c r="G23" s="75"/>
      <c r="H23" s="75"/>
      <c r="I23" s="38">
        <f>F23*100%/C23</f>
        <v>0.7579494073529542</v>
      </c>
    </row>
    <row r="24" spans="1:9" ht="12.75">
      <c r="A24" s="74" t="s">
        <v>51</v>
      </c>
      <c r="B24" s="74"/>
      <c r="C24" s="75">
        <f>(C20+E20)/12</f>
        <v>187961.62199999997</v>
      </c>
      <c r="D24" s="75"/>
      <c r="E24" s="75"/>
      <c r="F24" s="75">
        <v>164713.66</v>
      </c>
      <c r="G24" s="75"/>
      <c r="H24" s="75"/>
      <c r="I24" s="38">
        <f aca="true" t="shared" si="0" ref="I24:I34">F24*100%/C24</f>
        <v>0.8763153788915485</v>
      </c>
    </row>
    <row r="25" spans="1:9" ht="12.75">
      <c r="A25" s="74" t="s">
        <v>52</v>
      </c>
      <c r="B25" s="74"/>
      <c r="C25" s="75">
        <f>(C20+E20)/12</f>
        <v>187961.62199999997</v>
      </c>
      <c r="D25" s="75"/>
      <c r="E25" s="75"/>
      <c r="F25" s="75">
        <v>157985.15</v>
      </c>
      <c r="G25" s="75"/>
      <c r="H25" s="75"/>
      <c r="I25" s="38">
        <f t="shared" si="0"/>
        <v>0.8405181244924563</v>
      </c>
    </row>
    <row r="26" spans="1:9" ht="12.75">
      <c r="A26" s="74" t="s">
        <v>53</v>
      </c>
      <c r="B26" s="74"/>
      <c r="C26" s="75">
        <f>(C20+E20)/12</f>
        <v>187961.62199999997</v>
      </c>
      <c r="D26" s="75"/>
      <c r="E26" s="75"/>
      <c r="F26" s="75">
        <v>160336.24</v>
      </c>
      <c r="G26" s="75"/>
      <c r="H26" s="75"/>
      <c r="I26" s="38">
        <f t="shared" si="0"/>
        <v>0.8530264757983415</v>
      </c>
    </row>
    <row r="27" spans="1:9" ht="12.75">
      <c r="A27" s="74" t="s">
        <v>54</v>
      </c>
      <c r="B27" s="74"/>
      <c r="C27" s="75">
        <f>(C20+E20)/12</f>
        <v>187961.62199999997</v>
      </c>
      <c r="D27" s="75"/>
      <c r="E27" s="75"/>
      <c r="F27" s="75">
        <v>174441.21</v>
      </c>
      <c r="G27" s="75"/>
      <c r="H27" s="75"/>
      <c r="I27" s="38">
        <f t="shared" si="0"/>
        <v>0.9280682308647029</v>
      </c>
    </row>
    <row r="28" spans="1:9" ht="12.75">
      <c r="A28" s="74" t="s">
        <v>55</v>
      </c>
      <c r="B28" s="74"/>
      <c r="C28" s="75">
        <f>(C20+E20)/12</f>
        <v>187961.62199999997</v>
      </c>
      <c r="D28" s="75"/>
      <c r="E28" s="75"/>
      <c r="F28" s="75">
        <v>151015.06</v>
      </c>
      <c r="G28" s="75"/>
      <c r="H28" s="75"/>
      <c r="I28" s="38">
        <f t="shared" si="0"/>
        <v>0.8034356077220913</v>
      </c>
    </row>
    <row r="29" spans="1:9" ht="12.75">
      <c r="A29" s="74" t="s">
        <v>56</v>
      </c>
      <c r="B29" s="74"/>
      <c r="C29" s="75">
        <f>(C20+E20)/12</f>
        <v>187961.62199999997</v>
      </c>
      <c r="D29" s="75"/>
      <c r="E29" s="75"/>
      <c r="F29" s="75">
        <v>159928.15</v>
      </c>
      <c r="G29" s="75"/>
      <c r="H29" s="75"/>
      <c r="I29" s="38">
        <f t="shared" si="0"/>
        <v>0.8508553410972375</v>
      </c>
    </row>
    <row r="30" spans="1:9" ht="12.75">
      <c r="A30" s="74" t="s">
        <v>57</v>
      </c>
      <c r="B30" s="74"/>
      <c r="C30" s="75">
        <f>(C20+E20)/12</f>
        <v>187961.62199999997</v>
      </c>
      <c r="D30" s="75"/>
      <c r="E30" s="75"/>
      <c r="F30" s="75">
        <v>185050.3</v>
      </c>
      <c r="G30" s="75"/>
      <c r="H30" s="75"/>
      <c r="I30" s="38">
        <f t="shared" si="0"/>
        <v>0.9845110827996579</v>
      </c>
    </row>
    <row r="31" spans="1:9" ht="12.75">
      <c r="A31" s="74" t="s">
        <v>58</v>
      </c>
      <c r="B31" s="74"/>
      <c r="C31" s="75">
        <f>(C20+E20)/12</f>
        <v>187961.62199999997</v>
      </c>
      <c r="D31" s="75"/>
      <c r="E31" s="75"/>
      <c r="F31" s="75">
        <v>171567.21</v>
      </c>
      <c r="G31" s="75"/>
      <c r="H31" s="75"/>
      <c r="I31" s="38">
        <f t="shared" si="0"/>
        <v>0.9127778754750265</v>
      </c>
    </row>
    <row r="32" spans="1:9" ht="12.75">
      <c r="A32" s="74" t="s">
        <v>59</v>
      </c>
      <c r="B32" s="74"/>
      <c r="C32" s="75">
        <f>(C20+E20)/12</f>
        <v>187961.62199999997</v>
      </c>
      <c r="D32" s="75"/>
      <c r="E32" s="75"/>
      <c r="F32" s="75">
        <v>166127.23</v>
      </c>
      <c r="G32" s="75"/>
      <c r="H32" s="75"/>
      <c r="I32" s="38">
        <f t="shared" si="0"/>
        <v>0.8838359034803394</v>
      </c>
    </row>
    <row r="33" spans="1:9" ht="12.75">
      <c r="A33" s="74" t="s">
        <v>60</v>
      </c>
      <c r="B33" s="74"/>
      <c r="C33" s="75">
        <f>(C20+E20)/12</f>
        <v>187961.62199999997</v>
      </c>
      <c r="D33" s="75"/>
      <c r="E33" s="75"/>
      <c r="F33" s="75">
        <v>172427.9</v>
      </c>
      <c r="G33" s="75"/>
      <c r="H33" s="75"/>
      <c r="I33" s="38">
        <f t="shared" si="0"/>
        <v>0.9173569485370796</v>
      </c>
    </row>
    <row r="34" spans="1:9" ht="12.75">
      <c r="A34" s="74" t="s">
        <v>61</v>
      </c>
      <c r="B34" s="74"/>
      <c r="C34" s="75">
        <f>(C20+E20)/12</f>
        <v>187961.62199999997</v>
      </c>
      <c r="D34" s="75"/>
      <c r="E34" s="75"/>
      <c r="F34" s="75">
        <v>189365.14</v>
      </c>
      <c r="G34" s="75"/>
      <c r="H34" s="75"/>
      <c r="I34" s="38">
        <f t="shared" si="0"/>
        <v>1.0074670455865722</v>
      </c>
    </row>
    <row r="35" spans="1:8" ht="12.75">
      <c r="A35" s="20"/>
      <c r="B35" s="20"/>
      <c r="C35" s="18"/>
      <c r="D35" s="18"/>
      <c r="E35" s="18"/>
      <c r="F35" s="18"/>
      <c r="G35" s="18"/>
      <c r="H35" s="36"/>
    </row>
    <row r="36" spans="1:10" ht="12.75">
      <c r="A36" s="108" t="s">
        <v>62</v>
      </c>
      <c r="B36" s="108"/>
      <c r="C36" s="108"/>
      <c r="D36" s="109" t="s">
        <v>224</v>
      </c>
      <c r="E36" s="109"/>
      <c r="F36" s="109"/>
      <c r="G36" s="109"/>
      <c r="H36" s="109"/>
      <c r="I36" s="109"/>
      <c r="J36" s="109"/>
    </row>
    <row r="37" spans="6:10" ht="12.75">
      <c r="F37" s="110" t="s">
        <v>64</v>
      </c>
      <c r="G37" s="110"/>
      <c r="H37" s="110"/>
      <c r="I37" s="110"/>
      <c r="J37" s="110"/>
    </row>
    <row r="38" spans="1:11" ht="36" customHeight="1">
      <c r="A38" s="106" t="s">
        <v>65</v>
      </c>
      <c r="B38" s="106"/>
      <c r="C38" s="106"/>
      <c r="D38" s="106"/>
      <c r="E38" s="106" t="s">
        <v>225</v>
      </c>
      <c r="F38" s="74" t="s">
        <v>67</v>
      </c>
      <c r="G38" s="74"/>
      <c r="H38" s="111" t="s">
        <v>68</v>
      </c>
      <c r="I38" s="74" t="s">
        <v>69</v>
      </c>
      <c r="J38" s="74" t="s">
        <v>70</v>
      </c>
      <c r="K38" s="21"/>
    </row>
    <row r="39" spans="1:11" ht="51" customHeight="1">
      <c r="A39" s="106"/>
      <c r="B39" s="106"/>
      <c r="C39" s="106"/>
      <c r="D39" s="106"/>
      <c r="E39" s="106"/>
      <c r="F39" s="19" t="s">
        <v>71</v>
      </c>
      <c r="G39" s="14" t="s">
        <v>72</v>
      </c>
      <c r="H39" s="111"/>
      <c r="I39" s="74"/>
      <c r="J39" s="74"/>
      <c r="K39" s="21"/>
    </row>
    <row r="40" spans="1:10" s="24" customFormat="1" ht="12.75">
      <c r="A40" s="107" t="s">
        <v>44</v>
      </c>
      <c r="B40" s="107"/>
      <c r="C40" s="107"/>
      <c r="D40" s="107"/>
      <c r="E40" s="15"/>
      <c r="F40" s="22"/>
      <c r="G40" s="15"/>
      <c r="H40" s="37"/>
      <c r="I40" s="8"/>
      <c r="J40" s="23"/>
    </row>
    <row r="41" spans="1:10" s="24" customFormat="1" ht="12.75">
      <c r="A41" s="107" t="s">
        <v>73</v>
      </c>
      <c r="B41" s="107"/>
      <c r="C41" s="107"/>
      <c r="D41" s="107"/>
      <c r="E41" s="15"/>
      <c r="F41" s="22"/>
      <c r="G41" s="15"/>
      <c r="H41" s="27"/>
      <c r="I41" s="8"/>
      <c r="J41" s="23"/>
    </row>
    <row r="42" spans="1:11" s="24" customFormat="1" ht="12.75">
      <c r="A42" s="103" t="s">
        <v>74</v>
      </c>
      <c r="B42" s="103"/>
      <c r="C42" s="103"/>
      <c r="D42" s="103"/>
      <c r="E42" s="15" t="s">
        <v>75</v>
      </c>
      <c r="F42" s="22">
        <f>C13</f>
        <v>634</v>
      </c>
      <c r="G42" s="8">
        <v>3</v>
      </c>
      <c r="H42" s="27">
        <v>0.012</v>
      </c>
      <c r="I42" s="25">
        <f>10299.67/21/8</f>
        <v>61.30755952380952</v>
      </c>
      <c r="J42" s="23">
        <f aca="true" t="shared" si="1" ref="J42:J47">F42*H42*I42*G42</f>
        <v>1399.2837385714286</v>
      </c>
      <c r="K42" s="26"/>
    </row>
    <row r="43" spans="1:11" s="24" customFormat="1" ht="28.5" customHeight="1">
      <c r="A43" s="103" t="s">
        <v>76</v>
      </c>
      <c r="B43" s="103"/>
      <c r="C43" s="103"/>
      <c r="D43" s="103"/>
      <c r="E43" s="15" t="s">
        <v>75</v>
      </c>
      <c r="F43" s="22">
        <f>G8*4</f>
        <v>3750</v>
      </c>
      <c r="G43" s="8">
        <v>2</v>
      </c>
      <c r="H43" s="27">
        <v>0.012</v>
      </c>
      <c r="I43" s="25">
        <f aca="true" t="shared" si="2" ref="I43:I62">10299.67/21/8</f>
        <v>61.30755952380952</v>
      </c>
      <c r="J43" s="23">
        <f t="shared" si="1"/>
        <v>5517.680357142857</v>
      </c>
      <c r="K43" s="26"/>
    </row>
    <row r="44" spans="1:11" s="24" customFormat="1" ht="26.25" customHeight="1">
      <c r="A44" s="103" t="s">
        <v>226</v>
      </c>
      <c r="B44" s="103"/>
      <c r="C44" s="103"/>
      <c r="D44" s="103"/>
      <c r="E44" s="15" t="s">
        <v>75</v>
      </c>
      <c r="F44" s="22">
        <f>F3*2.5+F42</f>
        <v>636.5</v>
      </c>
      <c r="G44" s="8">
        <v>4</v>
      </c>
      <c r="H44" s="27">
        <v>0.012</v>
      </c>
      <c r="I44" s="25">
        <f t="shared" si="2"/>
        <v>61.30755952380952</v>
      </c>
      <c r="J44" s="23">
        <f t="shared" si="1"/>
        <v>1873.0685585714286</v>
      </c>
      <c r="K44" s="26"/>
    </row>
    <row r="45" spans="1:11" s="24" customFormat="1" ht="12.75" customHeight="1">
      <c r="A45" s="103" t="s">
        <v>78</v>
      </c>
      <c r="B45" s="103"/>
      <c r="C45" s="103"/>
      <c r="D45" s="103"/>
      <c r="E45" s="15" t="s">
        <v>75</v>
      </c>
      <c r="F45" s="22">
        <f>F44</f>
        <v>636.5</v>
      </c>
      <c r="G45" s="8">
        <v>4</v>
      </c>
      <c r="H45" s="27">
        <v>0.03</v>
      </c>
      <c r="I45" s="25">
        <f t="shared" si="2"/>
        <v>61.30755952380952</v>
      </c>
      <c r="J45" s="23">
        <f t="shared" si="1"/>
        <v>4682.671396428571</v>
      </c>
      <c r="K45" s="26"/>
    </row>
    <row r="46" spans="1:11" s="24" customFormat="1" ht="12.75" customHeight="1">
      <c r="A46" s="103" t="s">
        <v>79</v>
      </c>
      <c r="B46" s="103"/>
      <c r="C46" s="103"/>
      <c r="D46" s="103"/>
      <c r="E46" s="15" t="s">
        <v>75</v>
      </c>
      <c r="F46" s="22">
        <f>C11+C12</f>
        <v>446</v>
      </c>
      <c r="G46" s="8">
        <v>2</v>
      </c>
      <c r="H46" s="27">
        <v>0.012</v>
      </c>
      <c r="I46" s="25">
        <f t="shared" si="2"/>
        <v>61.30755952380952</v>
      </c>
      <c r="J46" s="23">
        <f t="shared" si="1"/>
        <v>656.2361171428572</v>
      </c>
      <c r="K46" s="26"/>
    </row>
    <row r="47" spans="1:11" s="24" customFormat="1" ht="26.25" customHeight="1">
      <c r="A47" s="103" t="s">
        <v>80</v>
      </c>
      <c r="B47" s="103"/>
      <c r="C47" s="103"/>
      <c r="D47" s="103"/>
      <c r="E47" s="15" t="s">
        <v>75</v>
      </c>
      <c r="F47" s="22">
        <f>C8</f>
        <v>6669.7</v>
      </c>
      <c r="G47" s="8">
        <v>2</v>
      </c>
      <c r="H47" s="27">
        <v>0.024</v>
      </c>
      <c r="I47" s="25">
        <f t="shared" si="2"/>
        <v>61.30755952380952</v>
      </c>
      <c r="J47" s="23">
        <f t="shared" si="1"/>
        <v>19627.345428285713</v>
      </c>
      <c r="K47" s="26"/>
    </row>
    <row r="48" spans="1:11" s="24" customFormat="1" ht="12.75" customHeight="1">
      <c r="A48" s="112" t="s">
        <v>81</v>
      </c>
      <c r="B48" s="112"/>
      <c r="C48" s="112"/>
      <c r="D48" s="112"/>
      <c r="E48" s="15"/>
      <c r="F48" s="22"/>
      <c r="G48" s="8"/>
      <c r="H48" s="27"/>
      <c r="I48" s="25">
        <f t="shared" si="2"/>
        <v>61.30755952380952</v>
      </c>
      <c r="J48" s="23">
        <f>SUM(J42:J47)</f>
        <v>33756.28559614286</v>
      </c>
      <c r="K48" s="26"/>
    </row>
    <row r="49" spans="1:11" s="24" customFormat="1" ht="12.75" customHeight="1">
      <c r="A49" s="107" t="s">
        <v>82</v>
      </c>
      <c r="B49" s="107"/>
      <c r="C49" s="107"/>
      <c r="D49" s="107"/>
      <c r="E49" s="15"/>
      <c r="F49" s="22"/>
      <c r="G49" s="8"/>
      <c r="H49" s="27"/>
      <c r="I49" s="25">
        <f t="shared" si="2"/>
        <v>61.30755952380952</v>
      </c>
      <c r="J49" s="23"/>
      <c r="K49" s="26"/>
    </row>
    <row r="50" spans="1:11" s="24" customFormat="1" ht="39" customHeight="1">
      <c r="A50" s="103" t="s">
        <v>83</v>
      </c>
      <c r="B50" s="103"/>
      <c r="C50" s="103"/>
      <c r="D50" s="103"/>
      <c r="E50" s="15" t="s">
        <v>84</v>
      </c>
      <c r="F50" s="27">
        <f>C9/1000</f>
        <v>3.6542</v>
      </c>
      <c r="G50" s="8">
        <v>1</v>
      </c>
      <c r="H50" s="27">
        <v>10</v>
      </c>
      <c r="I50" s="25">
        <f t="shared" si="2"/>
        <v>61.30755952380952</v>
      </c>
      <c r="J50" s="23">
        <f aca="true" t="shared" si="3" ref="J50:J62">F50*H50*I50*G50</f>
        <v>2240.3008401190477</v>
      </c>
      <c r="K50" s="26"/>
    </row>
    <row r="51" spans="1:11" s="24" customFormat="1" ht="26.25" customHeight="1">
      <c r="A51" s="103" t="s">
        <v>85</v>
      </c>
      <c r="B51" s="103"/>
      <c r="C51" s="103"/>
      <c r="D51" s="103"/>
      <c r="E51" s="15" t="s">
        <v>227</v>
      </c>
      <c r="F51" s="27">
        <f>(C11+C12)/1000</f>
        <v>0.446</v>
      </c>
      <c r="G51" s="8">
        <v>5</v>
      </c>
      <c r="H51" s="27">
        <v>4</v>
      </c>
      <c r="I51" s="25">
        <f t="shared" si="2"/>
        <v>61.30755952380952</v>
      </c>
      <c r="J51" s="23">
        <f t="shared" si="3"/>
        <v>546.8634309523809</v>
      </c>
      <c r="K51" s="26"/>
    </row>
    <row r="52" spans="1:11" s="24" customFormat="1" ht="26.25" customHeight="1">
      <c r="A52" s="103" t="s">
        <v>87</v>
      </c>
      <c r="B52" s="103"/>
      <c r="C52" s="103"/>
      <c r="D52" s="103"/>
      <c r="E52" s="15" t="s">
        <v>88</v>
      </c>
      <c r="F52" s="27">
        <f>F2*F3/100</f>
        <v>0.16</v>
      </c>
      <c r="G52" s="8">
        <v>2</v>
      </c>
      <c r="H52" s="27">
        <v>9</v>
      </c>
      <c r="I52" s="25">
        <f t="shared" si="2"/>
        <v>61.30755952380952</v>
      </c>
      <c r="J52" s="23">
        <f t="shared" si="3"/>
        <v>176.56577142857142</v>
      </c>
      <c r="K52" s="26"/>
    </row>
    <row r="53" spans="1:11" s="24" customFormat="1" ht="26.25" customHeight="1">
      <c r="A53" s="103" t="s">
        <v>89</v>
      </c>
      <c r="B53" s="103"/>
      <c r="C53" s="103"/>
      <c r="D53" s="103"/>
      <c r="E53" s="15" t="s">
        <v>90</v>
      </c>
      <c r="F53" s="22">
        <f>F3</f>
        <v>1</v>
      </c>
      <c r="G53" s="8">
        <v>2</v>
      </c>
      <c r="H53" s="27">
        <v>0.5</v>
      </c>
      <c r="I53" s="25">
        <f t="shared" si="2"/>
        <v>61.30755952380952</v>
      </c>
      <c r="J53" s="23">
        <f>F53*H53*I53*G53</f>
        <v>61.30755952380952</v>
      </c>
      <c r="K53" s="26"/>
    </row>
    <row r="54" spans="1:11" s="24" customFormat="1" ht="39.75" customHeight="1">
      <c r="A54" s="103" t="s">
        <v>91</v>
      </c>
      <c r="B54" s="103"/>
      <c r="C54" s="103"/>
      <c r="D54" s="103"/>
      <c r="E54" s="15" t="s">
        <v>92</v>
      </c>
      <c r="F54" s="27">
        <f>J3/100</f>
        <v>1.8</v>
      </c>
      <c r="G54" s="8">
        <v>1</v>
      </c>
      <c r="H54" s="27">
        <v>1.42</v>
      </c>
      <c r="I54" s="25">
        <f t="shared" si="2"/>
        <v>61.30755952380952</v>
      </c>
      <c r="J54" s="23">
        <f t="shared" si="3"/>
        <v>156.70212214285715</v>
      </c>
      <c r="K54" s="26"/>
    </row>
    <row r="55" spans="1:11" s="24" customFormat="1" ht="26.25" customHeight="1">
      <c r="A55" s="103" t="s">
        <v>93</v>
      </c>
      <c r="B55" s="103"/>
      <c r="C55" s="103"/>
      <c r="D55" s="103"/>
      <c r="E55" s="15" t="s">
        <v>92</v>
      </c>
      <c r="F55" s="53">
        <f>J3/100</f>
        <v>1.8</v>
      </c>
      <c r="G55" s="8">
        <v>1</v>
      </c>
      <c r="H55" s="27">
        <v>1.42</v>
      </c>
      <c r="I55" s="25">
        <f t="shared" si="2"/>
        <v>61.30755952380952</v>
      </c>
      <c r="J55" s="23">
        <f t="shared" si="3"/>
        <v>156.70212214285715</v>
      </c>
      <c r="K55" s="26"/>
    </row>
    <row r="56" spans="1:11" s="24" customFormat="1" ht="26.25" customHeight="1">
      <c r="A56" s="103" t="s">
        <v>94</v>
      </c>
      <c r="B56" s="103"/>
      <c r="C56" s="103"/>
      <c r="D56" s="103"/>
      <c r="E56" s="15" t="s">
        <v>92</v>
      </c>
      <c r="F56" s="53">
        <f>J3/100</f>
        <v>1.8</v>
      </c>
      <c r="G56" s="8">
        <v>2</v>
      </c>
      <c r="H56" s="27">
        <v>3.1</v>
      </c>
      <c r="I56" s="25">
        <f t="shared" si="2"/>
        <v>61.30755952380952</v>
      </c>
      <c r="J56" s="23">
        <f t="shared" si="3"/>
        <v>684.1923642857142</v>
      </c>
      <c r="K56" s="26"/>
    </row>
    <row r="57" spans="1:11" s="24" customFormat="1" ht="26.25" customHeight="1">
      <c r="A57" s="103" t="s">
        <v>95</v>
      </c>
      <c r="B57" s="103"/>
      <c r="C57" s="103"/>
      <c r="D57" s="103"/>
      <c r="E57" s="15" t="s">
        <v>96</v>
      </c>
      <c r="F57" s="53">
        <f>J3/100</f>
        <v>1.8</v>
      </c>
      <c r="G57" s="8">
        <v>2</v>
      </c>
      <c r="H57" s="27">
        <v>3.3</v>
      </c>
      <c r="I57" s="25">
        <f t="shared" si="2"/>
        <v>61.30755952380952</v>
      </c>
      <c r="J57" s="23">
        <f t="shared" si="3"/>
        <v>728.333807142857</v>
      </c>
      <c r="K57" s="26"/>
    </row>
    <row r="58" spans="1:11" s="24" customFormat="1" ht="26.25" customHeight="1">
      <c r="A58" s="103" t="s">
        <v>97</v>
      </c>
      <c r="B58" s="103"/>
      <c r="C58" s="103"/>
      <c r="D58" s="103"/>
      <c r="E58" s="15" t="s">
        <v>227</v>
      </c>
      <c r="F58" s="53">
        <f>(C8-C9)/1000</f>
        <v>3.0155</v>
      </c>
      <c r="G58" s="8">
        <v>1</v>
      </c>
      <c r="H58" s="27">
        <v>4</v>
      </c>
      <c r="I58" s="25">
        <f t="shared" si="2"/>
        <v>61.30755952380952</v>
      </c>
      <c r="J58" s="23">
        <f t="shared" si="3"/>
        <v>739.4917829761904</v>
      </c>
      <c r="K58" s="26"/>
    </row>
    <row r="59" spans="1:11" s="24" customFormat="1" ht="41.25" customHeight="1">
      <c r="A59" s="130" t="s">
        <v>98</v>
      </c>
      <c r="B59" s="130"/>
      <c r="C59" s="130"/>
      <c r="D59" s="130"/>
      <c r="E59" s="15" t="s">
        <v>99</v>
      </c>
      <c r="F59" s="52">
        <v>294.5</v>
      </c>
      <c r="G59" s="8">
        <v>1</v>
      </c>
      <c r="H59" s="27">
        <v>0.87</v>
      </c>
      <c r="I59" s="25">
        <f t="shared" si="2"/>
        <v>61.30755952380952</v>
      </c>
      <c r="J59" s="23">
        <f t="shared" si="3"/>
        <v>15707.916363392855</v>
      </c>
      <c r="K59" s="26"/>
    </row>
    <row r="60" spans="1:11" s="24" customFormat="1" ht="26.25" customHeight="1">
      <c r="A60" s="103" t="s">
        <v>100</v>
      </c>
      <c r="B60" s="103"/>
      <c r="C60" s="103"/>
      <c r="D60" s="103"/>
      <c r="E60" s="15" t="s">
        <v>96</v>
      </c>
      <c r="F60" s="27">
        <f>J3/100</f>
        <v>1.8</v>
      </c>
      <c r="G60" s="8">
        <v>1</v>
      </c>
      <c r="H60" s="27">
        <v>3.3</v>
      </c>
      <c r="I60" s="25">
        <f t="shared" si="2"/>
        <v>61.30755952380952</v>
      </c>
      <c r="J60" s="23">
        <f t="shared" si="3"/>
        <v>364.1669035714285</v>
      </c>
      <c r="K60" s="26"/>
    </row>
    <row r="61" spans="1:11" s="24" customFormat="1" ht="26.25" customHeight="1">
      <c r="A61" s="103" t="s">
        <v>101</v>
      </c>
      <c r="B61" s="103"/>
      <c r="C61" s="103"/>
      <c r="D61" s="103"/>
      <c r="E61" s="15" t="s">
        <v>102</v>
      </c>
      <c r="F61" s="22">
        <f>F3</f>
        <v>1</v>
      </c>
      <c r="G61" s="8">
        <v>1</v>
      </c>
      <c r="H61" s="27">
        <v>0.56</v>
      </c>
      <c r="I61" s="25">
        <f t="shared" si="2"/>
        <v>61.30755952380952</v>
      </c>
      <c r="J61" s="23">
        <f t="shared" si="3"/>
        <v>34.332233333333335</v>
      </c>
      <c r="K61" s="26"/>
    </row>
    <row r="62" spans="1:11" s="24" customFormat="1" ht="50.25" customHeight="1">
      <c r="A62" s="103" t="s">
        <v>228</v>
      </c>
      <c r="B62" s="103"/>
      <c r="C62" s="103"/>
      <c r="D62" s="103"/>
      <c r="E62" s="15" t="s">
        <v>84</v>
      </c>
      <c r="F62" s="27">
        <f>C9/1000</f>
        <v>3.6542</v>
      </c>
      <c r="G62" s="8">
        <v>1</v>
      </c>
      <c r="H62" s="27">
        <v>10</v>
      </c>
      <c r="I62" s="25">
        <f t="shared" si="2"/>
        <v>61.30755952380952</v>
      </c>
      <c r="J62" s="23">
        <f t="shared" si="3"/>
        <v>2240.3008401190477</v>
      </c>
      <c r="K62" s="26"/>
    </row>
    <row r="63" spans="1:11" s="24" customFormat="1" ht="12.75" customHeight="1">
      <c r="A63" s="103" t="s">
        <v>81</v>
      </c>
      <c r="B63" s="103"/>
      <c r="C63" s="103"/>
      <c r="D63" s="103"/>
      <c r="E63" s="15"/>
      <c r="F63" s="22"/>
      <c r="G63" s="8"/>
      <c r="H63" s="27"/>
      <c r="I63" s="8"/>
      <c r="J63" s="23">
        <f>SUM(J50:J62)</f>
        <v>23837.176141130953</v>
      </c>
      <c r="K63" s="26"/>
    </row>
    <row r="64" spans="1:11" s="24" customFormat="1" ht="12.75" customHeight="1">
      <c r="A64" s="107" t="s">
        <v>104</v>
      </c>
      <c r="B64" s="107"/>
      <c r="C64" s="107"/>
      <c r="D64" s="107"/>
      <c r="E64" s="15"/>
      <c r="F64" s="22"/>
      <c r="G64" s="8"/>
      <c r="H64" s="27"/>
      <c r="I64" s="8"/>
      <c r="J64" s="23"/>
      <c r="K64" s="26"/>
    </row>
    <row r="65" spans="1:11" s="24" customFormat="1" ht="39" customHeight="1">
      <c r="A65" s="103" t="s">
        <v>105</v>
      </c>
      <c r="B65" s="103"/>
      <c r="C65" s="103"/>
      <c r="D65" s="103"/>
      <c r="E65" s="15" t="s">
        <v>75</v>
      </c>
      <c r="F65" s="27">
        <f>G8/F2*3</f>
        <v>175.78125</v>
      </c>
      <c r="G65" s="8">
        <v>365</v>
      </c>
      <c r="H65" s="27">
        <f>0.81/60</f>
        <v>0.013500000000000002</v>
      </c>
      <c r="I65" s="27">
        <f>4914.48/21/8</f>
        <v>29.252857142857142</v>
      </c>
      <c r="J65" s="23">
        <f aca="true" t="shared" si="4" ref="J65:J76">F65*H65*I65*G65</f>
        <v>25337.716448102685</v>
      </c>
      <c r="K65" s="26"/>
    </row>
    <row r="66" spans="1:11" s="24" customFormat="1" ht="39" customHeight="1">
      <c r="A66" s="103" t="s">
        <v>106</v>
      </c>
      <c r="B66" s="103"/>
      <c r="C66" s="103"/>
      <c r="D66" s="103"/>
      <c r="E66" s="15" t="s">
        <v>75</v>
      </c>
      <c r="F66" s="27">
        <f>G8/F2*(F2-3)</f>
        <v>761.71875</v>
      </c>
      <c r="G66" s="8">
        <v>104</v>
      </c>
      <c r="H66" s="27">
        <f>0.71/60</f>
        <v>0.011833333333333333</v>
      </c>
      <c r="I66" s="27">
        <f aca="true" t="shared" si="5" ref="I66:I82">4914.48/21/8</f>
        <v>29.252857142857142</v>
      </c>
      <c r="J66" s="23">
        <f t="shared" si="4"/>
        <v>27422.268191964286</v>
      </c>
      <c r="K66" s="26"/>
    </row>
    <row r="67" spans="1:11" s="24" customFormat="1" ht="26.25" customHeight="1">
      <c r="A67" s="103" t="s">
        <v>107</v>
      </c>
      <c r="B67" s="103"/>
      <c r="C67" s="103"/>
      <c r="D67" s="103"/>
      <c r="E67" s="15" t="s">
        <v>75</v>
      </c>
      <c r="F67" s="27">
        <f>G8/F2*3</f>
        <v>175.78125</v>
      </c>
      <c r="G67" s="8">
        <v>24</v>
      </c>
      <c r="H67" s="27">
        <f>1.07/60</f>
        <v>0.017833333333333333</v>
      </c>
      <c r="I67" s="27">
        <f t="shared" si="5"/>
        <v>29.252857142857142</v>
      </c>
      <c r="J67" s="23">
        <f t="shared" si="4"/>
        <v>2200.8204241071426</v>
      </c>
      <c r="K67" s="26"/>
    </row>
    <row r="68" spans="1:11" s="24" customFormat="1" ht="26.25" customHeight="1">
      <c r="A68" s="103" t="s">
        <v>108</v>
      </c>
      <c r="B68" s="103"/>
      <c r="C68" s="103"/>
      <c r="D68" s="103"/>
      <c r="E68" s="15" t="s">
        <v>75</v>
      </c>
      <c r="F68" s="27">
        <f>G8/F2*(F2-3)</f>
        <v>761.71875</v>
      </c>
      <c r="G68" s="8">
        <v>24</v>
      </c>
      <c r="H68" s="27">
        <f>0.82/60</f>
        <v>0.013666666666666666</v>
      </c>
      <c r="I68" s="27">
        <f t="shared" si="5"/>
        <v>29.252857142857142</v>
      </c>
      <c r="J68" s="23">
        <f t="shared" si="4"/>
        <v>7308.643526785714</v>
      </c>
      <c r="K68" s="26"/>
    </row>
    <row r="69" spans="1:11" s="24" customFormat="1" ht="12.75" customHeight="1">
      <c r="A69" s="103" t="s">
        <v>109</v>
      </c>
      <c r="B69" s="103"/>
      <c r="C69" s="103"/>
      <c r="D69" s="103"/>
      <c r="E69" s="15" t="s">
        <v>75</v>
      </c>
      <c r="F69" s="22">
        <f>F2*F3*1.5*2</f>
        <v>48</v>
      </c>
      <c r="G69" s="28">
        <v>2</v>
      </c>
      <c r="H69" s="25">
        <f>3.8/60</f>
        <v>0.06333333333333332</v>
      </c>
      <c r="I69" s="27">
        <f t="shared" si="5"/>
        <v>29.252857142857142</v>
      </c>
      <c r="J69" s="23">
        <f t="shared" si="4"/>
        <v>177.8573714285714</v>
      </c>
      <c r="K69" s="26"/>
    </row>
    <row r="70" spans="1:10" s="24" customFormat="1" ht="12.75" customHeight="1">
      <c r="A70" s="116" t="s">
        <v>110</v>
      </c>
      <c r="B70" s="116"/>
      <c r="C70" s="116"/>
      <c r="D70" s="116"/>
      <c r="E70" s="29" t="s">
        <v>75</v>
      </c>
      <c r="F70" s="57">
        <f>G9</f>
        <v>16100</v>
      </c>
      <c r="G70" s="28">
        <v>2</v>
      </c>
      <c r="H70" s="25">
        <f>0.91/60</f>
        <v>0.015166666666666667</v>
      </c>
      <c r="I70" s="27">
        <f t="shared" si="5"/>
        <v>29.252857142857142</v>
      </c>
      <c r="J70" s="23">
        <f>F70*H70*I70*G70</f>
        <v>14286.120333333332</v>
      </c>
    </row>
    <row r="71" spans="1:11" s="24" customFormat="1" ht="26.25" customHeight="1">
      <c r="A71" s="103" t="s">
        <v>111</v>
      </c>
      <c r="B71" s="103"/>
      <c r="C71" s="103"/>
      <c r="D71" s="103"/>
      <c r="E71" s="15" t="s">
        <v>75</v>
      </c>
      <c r="F71" s="22">
        <f>G10</f>
        <v>1647</v>
      </c>
      <c r="G71" s="8">
        <v>91</v>
      </c>
      <c r="H71" s="27">
        <f>0.14/60</f>
        <v>0.0023333333333333335</v>
      </c>
      <c r="I71" s="27">
        <f t="shared" si="5"/>
        <v>29.252857142857142</v>
      </c>
      <c r="J71" s="23">
        <f t="shared" si="4"/>
        <v>10230.104430000001</v>
      </c>
      <c r="K71" s="26"/>
    </row>
    <row r="72" spans="1:11" s="24" customFormat="1" ht="12.75" customHeight="1">
      <c r="A72" s="103" t="s">
        <v>112</v>
      </c>
      <c r="B72" s="103"/>
      <c r="C72" s="103"/>
      <c r="D72" s="103"/>
      <c r="E72" s="15" t="s">
        <v>75</v>
      </c>
      <c r="F72" s="22">
        <f>G10</f>
        <v>1647</v>
      </c>
      <c r="G72" s="8">
        <v>91</v>
      </c>
      <c r="H72" s="27">
        <f>0.13/60</f>
        <v>0.0021666666666666666</v>
      </c>
      <c r="I72" s="27">
        <f t="shared" si="5"/>
        <v>29.252857142857142</v>
      </c>
      <c r="J72" s="23">
        <f t="shared" si="4"/>
        <v>9499.382684999999</v>
      </c>
      <c r="K72" s="26"/>
    </row>
    <row r="73" spans="1:11" s="24" customFormat="1" ht="26.25" customHeight="1">
      <c r="A73" s="103" t="s">
        <v>148</v>
      </c>
      <c r="B73" s="103"/>
      <c r="C73" s="103"/>
      <c r="D73" s="103"/>
      <c r="E73" s="15" t="s">
        <v>75</v>
      </c>
      <c r="F73" s="22">
        <f>G10</f>
        <v>1647</v>
      </c>
      <c r="G73" s="8">
        <v>365</v>
      </c>
      <c r="H73" s="27">
        <f>0.08/60</f>
        <v>0.0013333333333333333</v>
      </c>
      <c r="I73" s="27">
        <f t="shared" si="5"/>
        <v>29.252857142857142</v>
      </c>
      <c r="J73" s="23">
        <f t="shared" si="4"/>
        <v>23447.33511428571</v>
      </c>
      <c r="K73" s="26"/>
    </row>
    <row r="74" spans="1:11" s="24" customFormat="1" ht="12.75" customHeight="1">
      <c r="A74" s="103" t="s">
        <v>113</v>
      </c>
      <c r="B74" s="103"/>
      <c r="C74" s="103"/>
      <c r="D74" s="103"/>
      <c r="E74" s="15" t="s">
        <v>75</v>
      </c>
      <c r="F74" s="51">
        <v>10</v>
      </c>
      <c r="G74" s="8">
        <v>365</v>
      </c>
      <c r="H74" s="27">
        <f>1.46/60</f>
        <v>0.024333333333333332</v>
      </c>
      <c r="I74" s="27">
        <f t="shared" si="5"/>
        <v>29.252857142857142</v>
      </c>
      <c r="J74" s="23">
        <f t="shared" si="4"/>
        <v>2598.141261904762</v>
      </c>
      <c r="K74" s="26"/>
    </row>
    <row r="75" spans="1:11" s="24" customFormat="1" ht="12.75" customHeight="1">
      <c r="A75" s="103" t="s">
        <v>114</v>
      </c>
      <c r="B75" s="103"/>
      <c r="C75" s="103"/>
      <c r="D75" s="103"/>
      <c r="E75" s="15" t="s">
        <v>115</v>
      </c>
      <c r="F75" s="22">
        <f>F3</f>
        <v>1</v>
      </c>
      <c r="G75" s="8">
        <v>365</v>
      </c>
      <c r="H75" s="27">
        <f>2.34/60</f>
        <v>0.039</v>
      </c>
      <c r="I75" s="27">
        <f t="shared" si="5"/>
        <v>29.252857142857142</v>
      </c>
      <c r="J75" s="23">
        <f t="shared" si="4"/>
        <v>416.4144214285714</v>
      </c>
      <c r="K75" s="26"/>
    </row>
    <row r="76" spans="1:11" s="24" customFormat="1" ht="12.75" customHeight="1">
      <c r="A76" s="103" t="s">
        <v>116</v>
      </c>
      <c r="B76" s="103"/>
      <c r="C76" s="103"/>
      <c r="D76" s="103"/>
      <c r="E76" s="15" t="s">
        <v>75</v>
      </c>
      <c r="F76" s="22">
        <f>G12</f>
        <v>943</v>
      </c>
      <c r="G76" s="8">
        <v>182</v>
      </c>
      <c r="H76" s="27">
        <f>0.077/60</f>
        <v>0.0012833333333333334</v>
      </c>
      <c r="I76" s="27">
        <f t="shared" si="5"/>
        <v>29.252857142857142</v>
      </c>
      <c r="J76" s="23">
        <f t="shared" si="4"/>
        <v>6443.040270333333</v>
      </c>
      <c r="K76" s="26"/>
    </row>
    <row r="77" spans="1:11" s="24" customFormat="1" ht="12.75" customHeight="1">
      <c r="A77" s="103" t="s">
        <v>81</v>
      </c>
      <c r="B77" s="103"/>
      <c r="C77" s="103"/>
      <c r="D77" s="103"/>
      <c r="E77" s="15"/>
      <c r="F77" s="22"/>
      <c r="G77" s="8"/>
      <c r="H77" s="27"/>
      <c r="I77" s="27">
        <f t="shared" si="5"/>
        <v>29.252857142857142</v>
      </c>
      <c r="J77" s="23">
        <f>SUM(J65:J76)</f>
        <v>129367.84447867413</v>
      </c>
      <c r="K77" s="26"/>
    </row>
    <row r="78" spans="1:11" s="24" customFormat="1" ht="12.75">
      <c r="A78" s="107" t="s">
        <v>117</v>
      </c>
      <c r="B78" s="107"/>
      <c r="C78" s="107"/>
      <c r="D78" s="107"/>
      <c r="E78" s="15"/>
      <c r="F78" s="22"/>
      <c r="G78" s="8"/>
      <c r="H78" s="27"/>
      <c r="I78" s="27">
        <f t="shared" si="5"/>
        <v>29.252857142857142</v>
      </c>
      <c r="J78" s="23"/>
      <c r="K78" s="26"/>
    </row>
    <row r="79" spans="1:11" s="24" customFormat="1" ht="12.75">
      <c r="A79" s="103" t="s">
        <v>118</v>
      </c>
      <c r="B79" s="103"/>
      <c r="C79" s="103"/>
      <c r="D79" s="103"/>
      <c r="E79" s="15" t="s">
        <v>115</v>
      </c>
      <c r="F79" s="22">
        <f>F3</f>
        <v>1</v>
      </c>
      <c r="G79" s="8">
        <v>365</v>
      </c>
      <c r="H79" s="27">
        <f>56.7/60</f>
        <v>0.9450000000000001</v>
      </c>
      <c r="I79" s="27">
        <f t="shared" si="5"/>
        <v>29.252857142857142</v>
      </c>
      <c r="J79" s="23">
        <f>F79*H79*I79*G79</f>
        <v>10090.04175</v>
      </c>
      <c r="K79" s="26"/>
    </row>
    <row r="80" spans="1:11" s="24" customFormat="1" ht="12.75">
      <c r="A80" s="103" t="s">
        <v>119</v>
      </c>
      <c r="B80" s="103"/>
      <c r="C80" s="103"/>
      <c r="D80" s="103"/>
      <c r="E80" s="15" t="s">
        <v>115</v>
      </c>
      <c r="F80" s="22">
        <f>F79</f>
        <v>1</v>
      </c>
      <c r="G80" s="8">
        <v>52</v>
      </c>
      <c r="H80" s="27">
        <f>5.91/60</f>
        <v>0.0985</v>
      </c>
      <c r="I80" s="27">
        <f t="shared" si="5"/>
        <v>29.252857142857142</v>
      </c>
      <c r="J80" s="23">
        <f>F80*H80*I80*G80</f>
        <v>149.8331342857143</v>
      </c>
      <c r="K80" s="26"/>
    </row>
    <row r="81" spans="1:11" s="24" customFormat="1" ht="12.75">
      <c r="A81" s="103" t="s">
        <v>229</v>
      </c>
      <c r="B81" s="103"/>
      <c r="C81" s="103"/>
      <c r="D81" s="103"/>
      <c r="E81" s="15" t="s">
        <v>75</v>
      </c>
      <c r="F81" s="22">
        <f>F79*5</f>
        <v>5</v>
      </c>
      <c r="G81" s="8">
        <v>365</v>
      </c>
      <c r="H81" s="27">
        <f>0.635/60</f>
        <v>0.010583333333333333</v>
      </c>
      <c r="I81" s="27">
        <f t="shared" si="5"/>
        <v>29.252857142857142</v>
      </c>
      <c r="J81" s="23">
        <f>F81*H81*I81*G81</f>
        <v>565.0067470238095</v>
      </c>
      <c r="K81" s="26"/>
    </row>
    <row r="82" spans="1:11" s="24" customFormat="1" ht="26.25" customHeight="1">
      <c r="A82" s="103" t="s">
        <v>120</v>
      </c>
      <c r="B82" s="103"/>
      <c r="C82" s="103"/>
      <c r="D82" s="103"/>
      <c r="E82" s="15" t="s">
        <v>121</v>
      </c>
      <c r="F82" s="22">
        <f>F2*F3*2.5</f>
        <v>40</v>
      </c>
      <c r="G82" s="8">
        <v>12</v>
      </c>
      <c r="H82" s="27">
        <f>2.06/60</f>
        <v>0.034333333333333334</v>
      </c>
      <c r="I82" s="27">
        <f t="shared" si="5"/>
        <v>29.252857142857142</v>
      </c>
      <c r="J82" s="23">
        <f>F82*H82*I82*G82</f>
        <v>482.08708571428565</v>
      </c>
      <c r="K82" s="26"/>
    </row>
    <row r="83" spans="1:11" s="24" customFormat="1" ht="12.75">
      <c r="A83" s="103" t="s">
        <v>81</v>
      </c>
      <c r="B83" s="103"/>
      <c r="C83" s="103"/>
      <c r="D83" s="103"/>
      <c r="E83" s="15"/>
      <c r="F83" s="22"/>
      <c r="G83" s="15"/>
      <c r="H83" s="37"/>
      <c r="I83" s="8"/>
      <c r="J83" s="23">
        <f>SUM(J79:J82)</f>
        <v>11286.96871702381</v>
      </c>
      <c r="K83" s="26"/>
    </row>
    <row r="84" spans="1:11" s="24" customFormat="1" ht="12.75">
      <c r="A84" s="107" t="s">
        <v>122</v>
      </c>
      <c r="B84" s="107"/>
      <c r="C84" s="107"/>
      <c r="D84" s="107"/>
      <c r="E84" s="15"/>
      <c r="F84" s="22"/>
      <c r="G84" s="15"/>
      <c r="H84" s="37"/>
      <c r="I84" s="8"/>
      <c r="J84" s="23"/>
      <c r="K84" s="26"/>
    </row>
    <row r="85" spans="1:11" s="24" customFormat="1" ht="12.75">
      <c r="A85" s="103" t="s">
        <v>123</v>
      </c>
      <c r="B85" s="103"/>
      <c r="C85" s="103"/>
      <c r="D85" s="103"/>
      <c r="E85" s="74"/>
      <c r="F85" s="74"/>
      <c r="G85" s="74"/>
      <c r="H85" s="74"/>
      <c r="I85" s="8"/>
      <c r="J85" s="23">
        <f>300079.59/216035.97*C8</f>
        <v>9264.38704361593</v>
      </c>
      <c r="K85" s="26"/>
    </row>
    <row r="86" spans="1:11" s="24" customFormat="1" ht="12.75">
      <c r="A86" s="103" t="s">
        <v>124</v>
      </c>
      <c r="B86" s="103"/>
      <c r="C86" s="103"/>
      <c r="D86" s="103"/>
      <c r="E86" s="74"/>
      <c r="F86" s="74"/>
      <c r="G86" s="74"/>
      <c r="H86" s="74"/>
      <c r="I86" s="8"/>
      <c r="J86" s="23">
        <f>99563.03/216035.97*C8</f>
        <v>3073.8193329147916</v>
      </c>
      <c r="K86" s="26"/>
    </row>
    <row r="87" spans="1:11" s="24" customFormat="1" ht="12.75">
      <c r="A87" s="113" t="s">
        <v>142</v>
      </c>
      <c r="B87" s="114"/>
      <c r="C87" s="114"/>
      <c r="D87" s="115"/>
      <c r="E87" s="76"/>
      <c r="F87" s="102"/>
      <c r="G87" s="102"/>
      <c r="H87" s="77"/>
      <c r="I87" s="40"/>
      <c r="J87" s="23">
        <f>5366787.25/216035.97*C8</f>
        <v>165689.3568294437</v>
      </c>
      <c r="K87" s="26"/>
    </row>
    <row r="88" spans="1:11" s="24" customFormat="1" ht="12.75">
      <c r="A88" s="103" t="s">
        <v>125</v>
      </c>
      <c r="B88" s="103"/>
      <c r="C88" s="103"/>
      <c r="D88" s="103"/>
      <c r="E88" s="74" t="s">
        <v>126</v>
      </c>
      <c r="F88" s="74"/>
      <c r="G88" s="74"/>
      <c r="H88" s="74"/>
      <c r="I88" s="8"/>
      <c r="J88" s="39">
        <f>1478082.24/216035.97*C8</f>
        <v>45632.980082566806</v>
      </c>
      <c r="K88" s="26"/>
    </row>
    <row r="89" spans="1:11" s="24" customFormat="1" ht="12.75">
      <c r="A89" s="103" t="s">
        <v>127</v>
      </c>
      <c r="B89" s="103"/>
      <c r="C89" s="103"/>
      <c r="D89" s="103"/>
      <c r="E89" s="74" t="s">
        <v>126</v>
      </c>
      <c r="F89" s="74"/>
      <c r="G89" s="74"/>
      <c r="H89" s="74"/>
      <c r="I89" s="8"/>
      <c r="J89" s="23">
        <f>3148900/216035.97*C8</f>
        <v>97216.30305360722</v>
      </c>
      <c r="K89" s="26"/>
    </row>
    <row r="90" spans="1:11" s="24" customFormat="1" ht="12.75">
      <c r="A90" s="103" t="s">
        <v>128</v>
      </c>
      <c r="B90" s="103"/>
      <c r="C90" s="103"/>
      <c r="D90" s="103"/>
      <c r="E90" s="74" t="s">
        <v>126</v>
      </c>
      <c r="F90" s="74"/>
      <c r="G90" s="74"/>
      <c r="H90" s="74"/>
      <c r="I90" s="8"/>
      <c r="J90" s="23">
        <f>5628981.94/216035.97*C8</f>
        <v>173784.11958535423</v>
      </c>
      <c r="K90" s="26"/>
    </row>
    <row r="91" spans="1:11" s="24" customFormat="1" ht="12.75">
      <c r="A91" s="103" t="s">
        <v>129</v>
      </c>
      <c r="B91" s="103"/>
      <c r="C91" s="103"/>
      <c r="D91" s="103"/>
      <c r="E91" s="74" t="s">
        <v>130</v>
      </c>
      <c r="F91" s="74"/>
      <c r="G91" s="74"/>
      <c r="H91" s="74"/>
      <c r="I91" s="8"/>
      <c r="J91" s="23">
        <f>(111173.4)/216035.97*C8</f>
        <v>3432.267441296928</v>
      </c>
      <c r="K91" s="26"/>
    </row>
    <row r="92" spans="1:11" s="24" customFormat="1" ht="12.75">
      <c r="A92" s="103" t="s">
        <v>230</v>
      </c>
      <c r="B92" s="103"/>
      <c r="C92" s="103"/>
      <c r="D92" s="103"/>
      <c r="E92" s="74" t="s">
        <v>132</v>
      </c>
      <c r="F92" s="74"/>
      <c r="G92" s="74"/>
      <c r="H92" s="74"/>
      <c r="I92" s="8"/>
      <c r="J92" s="23">
        <f>198400.51/216035.97*C8</f>
        <v>6125.23868847859</v>
      </c>
      <c r="K92" s="26"/>
    </row>
    <row r="93" spans="1:11" s="24" customFormat="1" ht="12.75">
      <c r="A93" s="103" t="s">
        <v>133</v>
      </c>
      <c r="B93" s="103"/>
      <c r="C93" s="103"/>
      <c r="D93" s="103"/>
      <c r="E93" s="74" t="s">
        <v>126</v>
      </c>
      <c r="F93" s="74"/>
      <c r="G93" s="74"/>
      <c r="H93" s="74"/>
      <c r="I93" s="8"/>
      <c r="J93" s="54">
        <f>6255875.28/216035.97*C8</f>
        <v>193138.2600546381</v>
      </c>
      <c r="K93" s="26"/>
    </row>
    <row r="94" spans="1:11" s="24" customFormat="1" ht="12.75">
      <c r="A94" s="113" t="s">
        <v>232</v>
      </c>
      <c r="B94" s="114"/>
      <c r="C94" s="114"/>
      <c r="D94" s="115"/>
      <c r="E94" s="76"/>
      <c r="F94" s="102"/>
      <c r="G94" s="102"/>
      <c r="H94" s="77"/>
      <c r="I94" s="8"/>
      <c r="J94" s="39">
        <v>1164.11</v>
      </c>
      <c r="K94" s="26"/>
    </row>
    <row r="95" spans="1:11" s="24" customFormat="1" ht="12.75">
      <c r="A95" s="113" t="s">
        <v>233</v>
      </c>
      <c r="B95" s="114"/>
      <c r="C95" s="114"/>
      <c r="D95" s="115"/>
      <c r="E95" s="76"/>
      <c r="F95" s="102"/>
      <c r="G95" s="102"/>
      <c r="H95" s="77"/>
      <c r="I95" s="8"/>
      <c r="J95" s="39">
        <f>5295.4+5824.94</f>
        <v>11120.34</v>
      </c>
      <c r="K95" s="26"/>
    </row>
    <row r="96" spans="1:11" s="24" customFormat="1" ht="12.75">
      <c r="A96" s="103" t="s">
        <v>134</v>
      </c>
      <c r="B96" s="103"/>
      <c r="C96" s="103"/>
      <c r="D96" s="103"/>
      <c r="E96" s="74" t="s">
        <v>126</v>
      </c>
      <c r="F96" s="74"/>
      <c r="G96" s="74"/>
      <c r="H96" s="74"/>
      <c r="I96" s="8"/>
      <c r="J96" s="54">
        <f>574141.03/216035.97*C8</f>
        <v>17725.513153161486</v>
      </c>
      <c r="K96" s="26"/>
    </row>
    <row r="97" spans="1:11" s="24" customFormat="1" ht="12.75">
      <c r="A97" s="103" t="s">
        <v>135</v>
      </c>
      <c r="B97" s="103"/>
      <c r="C97" s="103"/>
      <c r="D97" s="103"/>
      <c r="E97" s="74"/>
      <c r="F97" s="74"/>
      <c r="G97" s="74"/>
      <c r="H97" s="74"/>
      <c r="I97" s="8"/>
      <c r="J97" s="54">
        <f>7623081.82/216035.97*C8</f>
        <v>235348.16361763273</v>
      </c>
      <c r="K97" s="26"/>
    </row>
    <row r="98" spans="1:11" s="24" customFormat="1" ht="12.75">
      <c r="A98" s="103" t="s">
        <v>136</v>
      </c>
      <c r="B98" s="103"/>
      <c r="C98" s="103"/>
      <c r="D98" s="103"/>
      <c r="E98" s="14"/>
      <c r="F98" s="14"/>
      <c r="G98" s="14"/>
      <c r="H98" s="35"/>
      <c r="I98" s="14"/>
      <c r="J98" s="39">
        <f>5899496.16/216035.97*C8</f>
        <v>182135.73201884853</v>
      </c>
      <c r="K98" s="26"/>
    </row>
    <row r="99" spans="1:11" s="24" customFormat="1" ht="12.75">
      <c r="A99" s="103" t="s">
        <v>81</v>
      </c>
      <c r="B99" s="103"/>
      <c r="C99" s="103"/>
      <c r="D99" s="103"/>
      <c r="E99" s="15"/>
      <c r="F99" s="15"/>
      <c r="G99" s="15"/>
      <c r="H99" s="37"/>
      <c r="I99" s="8"/>
      <c r="J99" s="23">
        <f>SUM(J85:J98)</f>
        <v>1144850.5909015592</v>
      </c>
      <c r="K99" s="26"/>
    </row>
    <row r="100" spans="1:11" s="24" customFormat="1" ht="12.75" customHeight="1">
      <c r="A100" s="103" t="s">
        <v>137</v>
      </c>
      <c r="B100" s="103"/>
      <c r="C100" s="103"/>
      <c r="D100" s="103"/>
      <c r="E100" s="15"/>
      <c r="F100" s="22"/>
      <c r="G100" s="15"/>
      <c r="H100" s="37"/>
      <c r="I100" s="8"/>
      <c r="J100" s="23">
        <f>J48+J63+J77+J83+J99</f>
        <v>1343098.865834531</v>
      </c>
      <c r="K100" s="26"/>
    </row>
    <row r="101" spans="1:11" ht="12.75">
      <c r="A101" s="81" t="s">
        <v>138</v>
      </c>
      <c r="B101" s="81"/>
      <c r="C101" s="81"/>
      <c r="D101" s="81"/>
      <c r="E101" s="81"/>
      <c r="F101" s="81"/>
      <c r="G101" s="81"/>
      <c r="H101" s="81"/>
      <c r="I101" s="81"/>
      <c r="J101" s="31">
        <f>J100*0.05</f>
        <v>67154.94329172655</v>
      </c>
      <c r="K101" s="26"/>
    </row>
    <row r="102" spans="1:11" ht="12.75">
      <c r="A102" s="81" t="s">
        <v>139</v>
      </c>
      <c r="B102" s="81"/>
      <c r="C102" s="81"/>
      <c r="D102" s="81"/>
      <c r="E102" s="81"/>
      <c r="F102" s="81"/>
      <c r="G102" s="81"/>
      <c r="H102" s="81"/>
      <c r="I102" s="81"/>
      <c r="J102" s="16">
        <f>J100+J101</f>
        <v>1410253.8091262574</v>
      </c>
      <c r="K102" s="26"/>
    </row>
    <row r="103" spans="1:11" ht="12.75">
      <c r="A103" s="81" t="s">
        <v>140</v>
      </c>
      <c r="B103" s="81"/>
      <c r="C103" s="81"/>
      <c r="D103" s="81"/>
      <c r="E103" s="81"/>
      <c r="F103" s="81"/>
      <c r="G103" s="81"/>
      <c r="H103" s="81"/>
      <c r="I103" s="81"/>
      <c r="J103" s="31">
        <f>J102*0.18</f>
        <v>253845.68564272634</v>
      </c>
      <c r="K103" s="26"/>
    </row>
    <row r="104" spans="1:11" ht="12.75">
      <c r="A104" s="81" t="s">
        <v>141</v>
      </c>
      <c r="B104" s="81"/>
      <c r="C104" s="81"/>
      <c r="D104" s="81"/>
      <c r="E104" s="81"/>
      <c r="F104" s="81"/>
      <c r="G104" s="81"/>
      <c r="H104" s="81"/>
      <c r="I104" s="81"/>
      <c r="J104" s="32">
        <f>J103+J102</f>
        <v>1664099.4947689837</v>
      </c>
      <c r="K104" s="33"/>
    </row>
    <row r="105" spans="1:11" ht="12.75">
      <c r="A105" s="41"/>
      <c r="B105" s="41"/>
      <c r="C105" s="41"/>
      <c r="D105" s="41"/>
      <c r="E105" s="41"/>
      <c r="F105" s="41"/>
      <c r="G105" s="41"/>
      <c r="H105" s="41"/>
      <c r="I105" s="41"/>
      <c r="J105" s="42"/>
      <c r="K105" s="33"/>
    </row>
    <row r="106" spans="1:11" ht="15">
      <c r="A106" s="47" t="s">
        <v>149</v>
      </c>
      <c r="B106" s="45"/>
      <c r="C106" s="45"/>
      <c r="D106" s="45"/>
      <c r="E106" s="45"/>
      <c r="F106" s="45"/>
      <c r="G106" s="45"/>
      <c r="H106" s="46"/>
      <c r="I106" s="41"/>
      <c r="J106" s="42"/>
      <c r="K106" s="33"/>
    </row>
    <row r="107" spans="1:11" ht="37.5" customHeight="1">
      <c r="A107" s="117" t="s">
        <v>219</v>
      </c>
      <c r="B107" s="118"/>
      <c r="C107" s="117" t="s">
        <v>236</v>
      </c>
      <c r="D107" s="118"/>
      <c r="E107" s="117" t="s">
        <v>150</v>
      </c>
      <c r="F107" s="118"/>
      <c r="G107" s="117" t="s">
        <v>151</v>
      </c>
      <c r="H107" s="118"/>
      <c r="I107" s="41"/>
      <c r="J107" s="42"/>
      <c r="K107" s="33"/>
    </row>
    <row r="108" spans="1:11" ht="12.75">
      <c r="A108" s="134">
        <f>36276.01+38726.96+51626.95+63150.45+62486.19</f>
        <v>252266.56</v>
      </c>
      <c r="B108" s="135"/>
      <c r="C108" s="104">
        <f>7005.83+6956.69+6956.69+6956.69+7026.11+6954.61+7378.97+7428.43+7329.1+7329.1+7452.95+7329.1</f>
        <v>86104.27</v>
      </c>
      <c r="D108" s="126"/>
      <c r="E108" s="119"/>
      <c r="F108" s="126"/>
      <c r="G108" s="119">
        <f>C108+A108</f>
        <v>338370.83</v>
      </c>
      <c r="H108" s="120"/>
      <c r="I108" s="41"/>
      <c r="J108" s="42"/>
      <c r="K108" s="33"/>
    </row>
    <row r="109" spans="1:11" ht="12.75">
      <c r="A109" s="41"/>
      <c r="B109" s="41"/>
      <c r="C109" s="41"/>
      <c r="D109" s="41"/>
      <c r="E109" s="41"/>
      <c r="F109" s="41"/>
      <c r="G109" s="41"/>
      <c r="H109" s="41"/>
      <c r="I109" s="41"/>
      <c r="J109" s="42"/>
      <c r="K109" s="33"/>
    </row>
    <row r="110" spans="1:11" ht="15">
      <c r="A110" s="47" t="s">
        <v>154</v>
      </c>
      <c r="B110" s="48"/>
      <c r="C110" s="48"/>
      <c r="D110" s="45"/>
      <c r="E110" s="45"/>
      <c r="F110" s="45"/>
      <c r="G110" s="45"/>
      <c r="H110" s="46"/>
      <c r="I110" s="41"/>
      <c r="J110" s="42"/>
      <c r="K110" s="33"/>
    </row>
    <row r="111" spans="1:11" ht="27" customHeight="1">
      <c r="A111" s="117" t="s">
        <v>155</v>
      </c>
      <c r="B111" s="118"/>
      <c r="C111" s="117" t="s">
        <v>156</v>
      </c>
      <c r="D111" s="118"/>
      <c r="E111" s="122" t="s">
        <v>157</v>
      </c>
      <c r="F111" s="122"/>
      <c r="G111" s="123"/>
      <c r="H111" s="123"/>
      <c r="I111" s="41"/>
      <c r="J111" s="42"/>
      <c r="K111" s="33"/>
    </row>
    <row r="112" spans="1:11" ht="27" customHeight="1">
      <c r="A112" s="124"/>
      <c r="B112" s="125"/>
      <c r="C112" s="128"/>
      <c r="D112" s="77"/>
      <c r="E112" s="129"/>
      <c r="F112" s="81"/>
      <c r="G112" s="121"/>
      <c r="H112" s="121"/>
      <c r="I112" s="41"/>
      <c r="J112" s="42"/>
      <c r="K112" s="33"/>
    </row>
    <row r="113" spans="1:11" ht="12.75">
      <c r="A113" s="41"/>
      <c r="B113" s="41"/>
      <c r="C113" s="41"/>
      <c r="D113" s="41"/>
      <c r="E113" s="41"/>
      <c r="F113" s="41"/>
      <c r="G113" s="41"/>
      <c r="H113" s="41"/>
      <c r="I113" s="41"/>
      <c r="J113" s="42"/>
      <c r="K113" s="33"/>
    </row>
    <row r="114" spans="1:11" ht="12.75">
      <c r="A114" s="127" t="s">
        <v>147</v>
      </c>
      <c r="B114" s="127"/>
      <c r="C114" s="127"/>
      <c r="D114" s="127"/>
      <c r="E114" s="127"/>
      <c r="F114" s="41"/>
      <c r="G114" s="41"/>
      <c r="H114" s="41"/>
      <c r="I114" s="41"/>
      <c r="J114" s="42"/>
      <c r="K114" s="33"/>
    </row>
    <row r="115" spans="1:11" ht="12.75">
      <c r="A115" s="127"/>
      <c r="B115" s="127"/>
      <c r="C115" s="127"/>
      <c r="D115" s="127"/>
      <c r="E115" s="127"/>
      <c r="F115" s="41"/>
      <c r="G115" s="41"/>
      <c r="H115" s="41"/>
      <c r="I115" s="41"/>
      <c r="J115" s="42"/>
      <c r="K115" s="33"/>
    </row>
    <row r="116" spans="1:11" s="73" customFormat="1" ht="12.75">
      <c r="A116" s="142"/>
      <c r="B116" s="142"/>
      <c r="C116" s="142"/>
      <c r="D116" s="142"/>
      <c r="E116" s="142"/>
      <c r="F116" s="142"/>
      <c r="G116" s="142"/>
      <c r="H116" s="142"/>
      <c r="I116" s="142"/>
      <c r="J116" s="143"/>
      <c r="K116" s="144"/>
    </row>
    <row r="117" spans="1:9" s="73" customFormat="1" ht="12.75">
      <c r="A117" s="145" t="s">
        <v>65</v>
      </c>
      <c r="B117" s="145"/>
      <c r="C117" s="145"/>
      <c r="D117" s="145"/>
      <c r="E117" s="146" t="s">
        <v>143</v>
      </c>
      <c r="F117" s="146" t="s">
        <v>144</v>
      </c>
      <c r="G117" s="146" t="s">
        <v>145</v>
      </c>
      <c r="H117" s="66" t="s">
        <v>146</v>
      </c>
      <c r="I117" s="72"/>
    </row>
    <row r="118" spans="1:9" s="73" customFormat="1" ht="12.75">
      <c r="A118" s="69" t="s">
        <v>192</v>
      </c>
      <c r="B118" s="70"/>
      <c r="C118" s="70"/>
      <c r="D118" s="70"/>
      <c r="E118" s="71"/>
      <c r="F118" s="71"/>
      <c r="G118" s="71"/>
      <c r="H118" s="67"/>
      <c r="I118" s="72"/>
    </row>
    <row r="119" spans="1:9" s="73" customFormat="1" ht="12.75" hidden="1">
      <c r="A119" s="69"/>
      <c r="B119" s="70"/>
      <c r="C119" s="70"/>
      <c r="D119" s="70"/>
      <c r="E119" s="71"/>
      <c r="F119" s="71"/>
      <c r="G119" s="71"/>
      <c r="H119" s="67"/>
      <c r="I119" s="72"/>
    </row>
    <row r="120" spans="1:9" s="73" customFormat="1" ht="12.75" hidden="1">
      <c r="A120" s="69"/>
      <c r="B120" s="70"/>
      <c r="C120" s="70"/>
      <c r="D120" s="70"/>
      <c r="E120" s="71"/>
      <c r="F120" s="71"/>
      <c r="G120" s="71"/>
      <c r="H120" s="67"/>
      <c r="I120" s="72"/>
    </row>
    <row r="121" spans="1:9" s="73" customFormat="1" ht="12.75" hidden="1">
      <c r="A121" s="69"/>
      <c r="B121" s="70"/>
      <c r="C121" s="70"/>
      <c r="D121" s="70"/>
      <c r="E121" s="71"/>
      <c r="F121" s="71"/>
      <c r="G121" s="71"/>
      <c r="H121" s="67"/>
      <c r="I121" s="72"/>
    </row>
    <row r="122" spans="1:9" s="73" customFormat="1" ht="12.75" hidden="1">
      <c r="A122" s="69"/>
      <c r="B122" s="70"/>
      <c r="C122" s="70"/>
      <c r="D122" s="70"/>
      <c r="E122" s="71"/>
      <c r="F122" s="71"/>
      <c r="G122" s="71"/>
      <c r="H122" s="67"/>
      <c r="I122" s="72"/>
    </row>
    <row r="123" spans="1:9" s="73" customFormat="1" ht="12.75">
      <c r="A123" s="147" t="s">
        <v>194</v>
      </c>
      <c r="B123" s="148"/>
      <c r="C123" s="148"/>
      <c r="D123" s="148"/>
      <c r="E123" s="148"/>
      <c r="F123" s="148"/>
      <c r="G123" s="149"/>
      <c r="H123" s="55">
        <f>F118*G118</f>
        <v>0</v>
      </c>
      <c r="I123" s="72"/>
    </row>
    <row r="124" spans="1:9" s="73" customFormat="1" ht="12.75">
      <c r="A124" s="69" t="s">
        <v>195</v>
      </c>
      <c r="B124" s="70"/>
      <c r="C124" s="70"/>
      <c r="D124" s="70"/>
      <c r="E124" s="71"/>
      <c r="F124" s="71"/>
      <c r="G124" s="71"/>
      <c r="H124" s="67"/>
      <c r="I124" s="72"/>
    </row>
    <row r="125" spans="1:10" s="156" customFormat="1" ht="12.75">
      <c r="A125" s="150" t="s">
        <v>196</v>
      </c>
      <c r="B125" s="151"/>
      <c r="C125" s="151"/>
      <c r="D125" s="151"/>
      <c r="E125" s="151"/>
      <c r="F125" s="151"/>
      <c r="G125" s="152"/>
      <c r="H125" s="153">
        <v>0</v>
      </c>
      <c r="I125" s="154"/>
      <c r="J125" s="155"/>
    </row>
    <row r="126" spans="1:9" s="73" customFormat="1" ht="12.75">
      <c r="A126" s="69" t="s">
        <v>197</v>
      </c>
      <c r="B126" s="70"/>
      <c r="C126" s="70"/>
      <c r="D126" s="70"/>
      <c r="E126" s="71"/>
      <c r="F126" s="71"/>
      <c r="G126" s="71"/>
      <c r="H126" s="67"/>
      <c r="I126" s="72"/>
    </row>
    <row r="127" spans="1:9" s="73" customFormat="1" ht="12.75" hidden="1">
      <c r="A127" s="69"/>
      <c r="B127" s="70"/>
      <c r="C127" s="70"/>
      <c r="D127" s="70"/>
      <c r="E127" s="71"/>
      <c r="F127" s="71"/>
      <c r="G127" s="71"/>
      <c r="H127" s="67"/>
      <c r="I127" s="72"/>
    </row>
    <row r="128" spans="1:9" s="73" customFormat="1" ht="12.75" hidden="1">
      <c r="A128" s="69"/>
      <c r="B128" s="70"/>
      <c r="C128" s="70"/>
      <c r="D128" s="70"/>
      <c r="E128" s="71"/>
      <c r="F128" s="71"/>
      <c r="G128" s="71"/>
      <c r="H128" s="67"/>
      <c r="I128" s="72"/>
    </row>
    <row r="129" spans="1:9" s="73" customFormat="1" ht="12.75" hidden="1">
      <c r="A129" s="69"/>
      <c r="B129" s="70"/>
      <c r="C129" s="70"/>
      <c r="D129" s="70"/>
      <c r="E129" s="71"/>
      <c r="F129" s="71"/>
      <c r="G129" s="71"/>
      <c r="H129" s="67"/>
      <c r="I129" s="72"/>
    </row>
    <row r="130" spans="1:9" s="73" customFormat="1" ht="12.75">
      <c r="A130" s="157" t="s">
        <v>237</v>
      </c>
      <c r="B130" s="70"/>
      <c r="C130" s="70"/>
      <c r="D130" s="70"/>
      <c r="E130" s="157" t="s">
        <v>193</v>
      </c>
      <c r="F130" s="158">
        <v>2</v>
      </c>
      <c r="G130" s="158">
        <v>473.49</v>
      </c>
      <c r="H130" s="67">
        <f>G130*F130</f>
        <v>946.98</v>
      </c>
      <c r="I130" s="72"/>
    </row>
    <row r="131" spans="1:9" s="73" customFormat="1" ht="12.75">
      <c r="A131" s="157" t="s">
        <v>238</v>
      </c>
      <c r="B131" s="70"/>
      <c r="C131" s="70"/>
      <c r="D131" s="70"/>
      <c r="E131" s="157" t="s">
        <v>193</v>
      </c>
      <c r="F131" s="158">
        <v>1</v>
      </c>
      <c r="G131" s="158">
        <v>2007.74</v>
      </c>
      <c r="H131" s="67">
        <f>G131*F131</f>
        <v>2007.74</v>
      </c>
      <c r="I131" s="72"/>
    </row>
    <row r="132" spans="1:9" s="73" customFormat="1" ht="12.75">
      <c r="A132" s="147" t="s">
        <v>198</v>
      </c>
      <c r="B132" s="148"/>
      <c r="C132" s="148"/>
      <c r="D132" s="148"/>
      <c r="E132" s="148"/>
      <c r="F132" s="148"/>
      <c r="G132" s="149"/>
      <c r="H132" s="55">
        <f>SUM(H130:H131)</f>
        <v>2954.7200000000003</v>
      </c>
      <c r="I132" s="159"/>
    </row>
    <row r="133" spans="1:9" s="73" customFormat="1" ht="12.75">
      <c r="A133" s="69" t="s">
        <v>199</v>
      </c>
      <c r="B133" s="70"/>
      <c r="C133" s="70"/>
      <c r="D133" s="70"/>
      <c r="E133" s="71"/>
      <c r="F133" s="71"/>
      <c r="G133" s="71"/>
      <c r="H133" s="67"/>
      <c r="I133" s="72"/>
    </row>
    <row r="134" spans="1:9" s="73" customFormat="1" ht="12.75">
      <c r="A134" s="157" t="s">
        <v>239</v>
      </c>
      <c r="B134" s="70"/>
      <c r="C134" s="70"/>
      <c r="D134" s="70"/>
      <c r="E134" s="160" t="s">
        <v>193</v>
      </c>
      <c r="F134" s="161">
        <v>1</v>
      </c>
      <c r="G134" s="161">
        <v>116.53</v>
      </c>
      <c r="H134" s="67">
        <f>G134*F134</f>
        <v>116.53</v>
      </c>
      <c r="I134" s="72"/>
    </row>
    <row r="135" spans="1:9" s="73" customFormat="1" ht="12.75">
      <c r="A135" s="157" t="s">
        <v>240</v>
      </c>
      <c r="B135" s="70"/>
      <c r="C135" s="70"/>
      <c r="D135" s="70"/>
      <c r="E135" s="157" t="s">
        <v>193</v>
      </c>
      <c r="F135" s="158">
        <v>3</v>
      </c>
      <c r="G135" s="158">
        <v>7.65</v>
      </c>
      <c r="H135" s="67">
        <f>G135*F135</f>
        <v>22.950000000000003</v>
      </c>
      <c r="I135" s="72"/>
    </row>
    <row r="136" spans="1:9" s="73" customFormat="1" ht="12.75">
      <c r="A136" s="157" t="s">
        <v>241</v>
      </c>
      <c r="B136" s="70"/>
      <c r="C136" s="70"/>
      <c r="D136" s="70"/>
      <c r="E136" s="157" t="s">
        <v>193</v>
      </c>
      <c r="F136" s="158">
        <v>3</v>
      </c>
      <c r="G136" s="158">
        <v>4</v>
      </c>
      <c r="H136" s="67">
        <f aca="true" t="shared" si="6" ref="H136:H143">G136*F136</f>
        <v>12</v>
      </c>
      <c r="I136" s="72"/>
    </row>
    <row r="137" spans="1:9" s="73" customFormat="1" ht="12.75">
      <c r="A137" s="157" t="s">
        <v>242</v>
      </c>
      <c r="B137" s="70"/>
      <c r="C137" s="70"/>
      <c r="D137" s="70"/>
      <c r="E137" s="157" t="s">
        <v>193</v>
      </c>
      <c r="F137" s="158">
        <v>3</v>
      </c>
      <c r="G137" s="158">
        <v>8</v>
      </c>
      <c r="H137" s="67">
        <f t="shared" si="6"/>
        <v>24</v>
      </c>
      <c r="I137" s="72"/>
    </row>
    <row r="138" spans="1:9" s="73" customFormat="1" ht="12.75">
      <c r="A138" s="157" t="s">
        <v>243</v>
      </c>
      <c r="B138" s="70"/>
      <c r="C138" s="70"/>
      <c r="D138" s="70"/>
      <c r="E138" s="157" t="s">
        <v>193</v>
      </c>
      <c r="F138" s="158">
        <v>3</v>
      </c>
      <c r="G138" s="158">
        <v>150</v>
      </c>
      <c r="H138" s="67">
        <f t="shared" si="6"/>
        <v>450</v>
      </c>
      <c r="I138" s="72"/>
    </row>
    <row r="139" spans="1:9" s="73" customFormat="1" ht="12.75">
      <c r="A139" s="157" t="s">
        <v>243</v>
      </c>
      <c r="B139" s="70"/>
      <c r="C139" s="70"/>
      <c r="D139" s="70"/>
      <c r="E139" s="157" t="s">
        <v>193</v>
      </c>
      <c r="F139" s="158">
        <v>1</v>
      </c>
      <c r="G139" s="158">
        <v>152</v>
      </c>
      <c r="H139" s="67">
        <f t="shared" si="6"/>
        <v>152</v>
      </c>
      <c r="I139" s="72"/>
    </row>
    <row r="140" spans="1:9" s="73" customFormat="1" ht="12.75">
      <c r="A140" s="157" t="s">
        <v>243</v>
      </c>
      <c r="B140" s="70"/>
      <c r="C140" s="70"/>
      <c r="D140" s="70"/>
      <c r="E140" s="157" t="s">
        <v>193</v>
      </c>
      <c r="F140" s="158">
        <v>2</v>
      </c>
      <c r="G140" s="158">
        <v>130.39</v>
      </c>
      <c r="H140" s="67">
        <f t="shared" si="6"/>
        <v>260.78</v>
      </c>
      <c r="I140" s="72"/>
    </row>
    <row r="141" spans="1:9" s="73" customFormat="1" ht="12.75">
      <c r="A141" s="157" t="s">
        <v>237</v>
      </c>
      <c r="B141" s="70"/>
      <c r="C141" s="70"/>
      <c r="D141" s="70"/>
      <c r="E141" s="157" t="s">
        <v>193</v>
      </c>
      <c r="F141" s="158">
        <v>2</v>
      </c>
      <c r="G141" s="158">
        <v>523.16</v>
      </c>
      <c r="H141" s="67">
        <f t="shared" si="6"/>
        <v>1046.32</v>
      </c>
      <c r="I141" s="72"/>
    </row>
    <row r="142" spans="1:9" s="73" customFormat="1" ht="12.75">
      <c r="A142" s="157" t="s">
        <v>238</v>
      </c>
      <c r="B142" s="70"/>
      <c r="C142" s="70"/>
      <c r="D142" s="70"/>
      <c r="E142" s="157" t="s">
        <v>193</v>
      </c>
      <c r="F142" s="158">
        <v>2</v>
      </c>
      <c r="G142" s="158">
        <v>4853.36</v>
      </c>
      <c r="H142" s="67">
        <f t="shared" si="6"/>
        <v>9706.72</v>
      </c>
      <c r="I142" s="72"/>
    </row>
    <row r="143" spans="1:9" s="73" customFormat="1" ht="12.75">
      <c r="A143" s="157" t="s">
        <v>244</v>
      </c>
      <c r="B143" s="70"/>
      <c r="C143" s="70"/>
      <c r="D143" s="70"/>
      <c r="E143" s="157" t="s">
        <v>193</v>
      </c>
      <c r="F143" s="158">
        <v>5</v>
      </c>
      <c r="G143" s="158">
        <v>5.51</v>
      </c>
      <c r="H143" s="67">
        <f t="shared" si="6"/>
        <v>27.549999999999997</v>
      </c>
      <c r="I143" s="72"/>
    </row>
    <row r="144" spans="1:9" s="73" customFormat="1" ht="12.75">
      <c r="A144" s="157" t="s">
        <v>245</v>
      </c>
      <c r="B144" s="70"/>
      <c r="C144" s="70"/>
      <c r="D144" s="70"/>
      <c r="E144" s="160" t="s">
        <v>193</v>
      </c>
      <c r="F144" s="161">
        <v>3</v>
      </c>
      <c r="G144" s="161">
        <v>9</v>
      </c>
      <c r="H144" s="67">
        <f>G144*F144</f>
        <v>27</v>
      </c>
      <c r="I144" s="72"/>
    </row>
    <row r="145" spans="1:9" s="73" customFormat="1" ht="12.75">
      <c r="A145" s="157" t="s">
        <v>246</v>
      </c>
      <c r="B145" s="70"/>
      <c r="C145" s="70"/>
      <c r="D145" s="70"/>
      <c r="E145" s="157" t="s">
        <v>75</v>
      </c>
      <c r="F145" s="161">
        <v>1.8</v>
      </c>
      <c r="G145" s="161">
        <v>271.19</v>
      </c>
      <c r="H145" s="67">
        <f>G145*F145</f>
        <v>488.142</v>
      </c>
      <c r="I145" s="72"/>
    </row>
    <row r="146" spans="1:9" s="73" customFormat="1" ht="12.75">
      <c r="A146" s="147" t="s">
        <v>200</v>
      </c>
      <c r="B146" s="148"/>
      <c r="C146" s="148"/>
      <c r="D146" s="148"/>
      <c r="E146" s="148"/>
      <c r="F146" s="148"/>
      <c r="G146" s="149"/>
      <c r="H146" s="55">
        <f>SUM(H134:H145)</f>
        <v>12333.991999999998</v>
      </c>
      <c r="I146" s="159"/>
    </row>
    <row r="147" spans="1:9" s="73" customFormat="1" ht="12.75">
      <c r="A147" s="69" t="s">
        <v>201</v>
      </c>
      <c r="B147" s="70"/>
      <c r="C147" s="70"/>
      <c r="D147" s="70"/>
      <c r="E147" s="71"/>
      <c r="F147" s="71"/>
      <c r="G147" s="71"/>
      <c r="H147" s="68" t="s">
        <v>202</v>
      </c>
      <c r="I147" s="72"/>
    </row>
    <row r="148" spans="1:9" s="73" customFormat="1" ht="12.75">
      <c r="A148" s="157" t="s">
        <v>247</v>
      </c>
      <c r="B148" s="70"/>
      <c r="C148" s="70"/>
      <c r="D148" s="70"/>
      <c r="E148" s="157" t="s">
        <v>193</v>
      </c>
      <c r="F148" s="158">
        <v>2</v>
      </c>
      <c r="G148" s="158">
        <v>10.58</v>
      </c>
      <c r="H148" s="67">
        <f>G148*F148</f>
        <v>21.16</v>
      </c>
      <c r="I148" s="72"/>
    </row>
    <row r="149" spans="1:9" s="73" customFormat="1" ht="12.75">
      <c r="A149" s="157" t="s">
        <v>248</v>
      </c>
      <c r="B149" s="70"/>
      <c r="C149" s="70"/>
      <c r="D149" s="70"/>
      <c r="E149" s="157" t="s">
        <v>193</v>
      </c>
      <c r="F149" s="158">
        <v>2</v>
      </c>
      <c r="G149" s="158">
        <v>10.58</v>
      </c>
      <c r="H149" s="67">
        <f>G149*F149</f>
        <v>21.16</v>
      </c>
      <c r="I149" s="72"/>
    </row>
    <row r="150" spans="1:9" s="73" customFormat="1" ht="12.75">
      <c r="A150" s="162" t="s">
        <v>249</v>
      </c>
      <c r="B150" s="70"/>
      <c r="C150" s="70"/>
      <c r="D150" s="70"/>
      <c r="E150" s="157" t="s">
        <v>220</v>
      </c>
      <c r="F150" s="158">
        <v>15</v>
      </c>
      <c r="G150" s="161">
        <v>9.7</v>
      </c>
      <c r="H150" s="67">
        <f>G150*F150</f>
        <v>145.5</v>
      </c>
      <c r="I150" s="72"/>
    </row>
    <row r="151" spans="1:9" s="73" customFormat="1" ht="12.75">
      <c r="A151" s="157" t="s">
        <v>250</v>
      </c>
      <c r="B151" s="70"/>
      <c r="C151" s="70"/>
      <c r="D151" s="70"/>
      <c r="E151" s="157" t="s">
        <v>193</v>
      </c>
      <c r="F151" s="161">
        <v>3</v>
      </c>
      <c r="G151" s="161">
        <v>11.71</v>
      </c>
      <c r="H151" s="67">
        <f>G151*F151</f>
        <v>35.13</v>
      </c>
      <c r="I151" s="72"/>
    </row>
    <row r="152" spans="1:9" s="73" customFormat="1" ht="12.75">
      <c r="A152" s="157" t="s">
        <v>251</v>
      </c>
      <c r="B152" s="70"/>
      <c r="C152" s="70"/>
      <c r="D152" s="70"/>
      <c r="E152" s="157" t="s">
        <v>220</v>
      </c>
      <c r="F152" s="161">
        <v>3.6</v>
      </c>
      <c r="G152" s="161">
        <v>105.6</v>
      </c>
      <c r="H152" s="67">
        <f>G152*F152</f>
        <v>380.15999999999997</v>
      </c>
      <c r="I152" s="72"/>
    </row>
    <row r="153" spans="1:9" s="73" customFormat="1" ht="12.75">
      <c r="A153" s="147" t="s">
        <v>203</v>
      </c>
      <c r="B153" s="148"/>
      <c r="C153" s="148"/>
      <c r="D153" s="148"/>
      <c r="E153" s="148"/>
      <c r="F153" s="148"/>
      <c r="G153" s="149"/>
      <c r="H153" s="55">
        <f>SUM(H148:H152)</f>
        <v>603.1099999999999</v>
      </c>
      <c r="I153" s="72"/>
    </row>
    <row r="154" spans="1:9" s="73" customFormat="1" ht="12.75">
      <c r="A154" s="69" t="s">
        <v>204</v>
      </c>
      <c r="B154" s="70"/>
      <c r="C154" s="70"/>
      <c r="D154" s="70"/>
      <c r="E154" s="71"/>
      <c r="F154" s="71"/>
      <c r="G154" s="71"/>
      <c r="H154" s="68" t="s">
        <v>202</v>
      </c>
      <c r="I154" s="72"/>
    </row>
    <row r="155" spans="1:9" s="73" customFormat="1" ht="12.75">
      <c r="A155" s="157" t="s">
        <v>252</v>
      </c>
      <c r="B155" s="70"/>
      <c r="C155" s="70"/>
      <c r="D155" s="70"/>
      <c r="E155" s="157" t="s">
        <v>193</v>
      </c>
      <c r="F155" s="158">
        <v>1</v>
      </c>
      <c r="G155" s="158">
        <v>83.74</v>
      </c>
      <c r="H155" s="67">
        <f>G155*F155</f>
        <v>83.74</v>
      </c>
      <c r="I155" s="72"/>
    </row>
    <row r="156" spans="1:9" s="73" customFormat="1" ht="12.75">
      <c r="A156" s="157" t="s">
        <v>253</v>
      </c>
      <c r="B156" s="70"/>
      <c r="C156" s="70"/>
      <c r="D156" s="70"/>
      <c r="E156" s="157" t="s">
        <v>193</v>
      </c>
      <c r="F156" s="158">
        <v>1</v>
      </c>
      <c r="G156" s="158">
        <v>69.28</v>
      </c>
      <c r="H156" s="67">
        <f>G156*F156</f>
        <v>69.28</v>
      </c>
      <c r="I156" s="72"/>
    </row>
    <row r="157" spans="1:9" s="73" customFormat="1" ht="25.5">
      <c r="A157" s="157" t="s">
        <v>254</v>
      </c>
      <c r="B157" s="70"/>
      <c r="C157" s="70"/>
      <c r="D157" s="70"/>
      <c r="E157" s="157" t="s">
        <v>193</v>
      </c>
      <c r="F157" s="158">
        <v>2</v>
      </c>
      <c r="G157" s="158">
        <v>44.18</v>
      </c>
      <c r="H157" s="67">
        <f>G157*F157</f>
        <v>88.36</v>
      </c>
      <c r="I157" s="72"/>
    </row>
    <row r="158" spans="1:9" s="73" customFormat="1" ht="12.75">
      <c r="A158" s="157" t="s">
        <v>255</v>
      </c>
      <c r="B158" s="70"/>
      <c r="C158" s="70"/>
      <c r="D158" s="70"/>
      <c r="E158" s="157" t="s">
        <v>193</v>
      </c>
      <c r="F158" s="158">
        <v>1</v>
      </c>
      <c r="G158" s="158">
        <v>33.59</v>
      </c>
      <c r="H158" s="67">
        <f>G158*F158</f>
        <v>33.59</v>
      </c>
      <c r="I158" s="72"/>
    </row>
    <row r="159" spans="1:9" s="73" customFormat="1" ht="12.75">
      <c r="A159" s="157" t="s">
        <v>256</v>
      </c>
      <c r="B159" s="70"/>
      <c r="C159" s="70"/>
      <c r="D159" s="70"/>
      <c r="E159" s="157" t="s">
        <v>215</v>
      </c>
      <c r="F159" s="158">
        <v>1</v>
      </c>
      <c r="G159" s="158">
        <v>161.59</v>
      </c>
      <c r="H159" s="67">
        <f>G159*F159</f>
        <v>161.59</v>
      </c>
      <c r="I159" s="72"/>
    </row>
    <row r="160" spans="1:9" s="73" customFormat="1" ht="12.75">
      <c r="A160" s="147" t="s">
        <v>205</v>
      </c>
      <c r="B160" s="148"/>
      <c r="C160" s="148"/>
      <c r="D160" s="148"/>
      <c r="E160" s="148"/>
      <c r="F160" s="148"/>
      <c r="G160" s="149"/>
      <c r="H160" s="55">
        <f>SUM(H155:H159)</f>
        <v>436.56000000000006</v>
      </c>
      <c r="I160" s="72"/>
    </row>
    <row r="161" spans="1:9" s="73" customFormat="1" ht="12.75">
      <c r="A161" s="69" t="s">
        <v>206</v>
      </c>
      <c r="B161" s="70"/>
      <c r="C161" s="70"/>
      <c r="D161" s="70"/>
      <c r="E161" s="71"/>
      <c r="F161" s="71"/>
      <c r="G161" s="71"/>
      <c r="H161" s="68"/>
      <c r="I161" s="72"/>
    </row>
    <row r="162" spans="1:9" s="73" customFormat="1" ht="12.75">
      <c r="A162" s="163" t="s">
        <v>237</v>
      </c>
      <c r="B162" s="70"/>
      <c r="C162" s="70"/>
      <c r="D162" s="70"/>
      <c r="E162" s="163" t="s">
        <v>193</v>
      </c>
      <c r="F162" s="164">
        <v>10</v>
      </c>
      <c r="G162" s="164">
        <v>547.62</v>
      </c>
      <c r="H162" s="67">
        <f>G162*F162</f>
        <v>5476.2</v>
      </c>
      <c r="I162" s="72"/>
    </row>
    <row r="163" spans="1:9" s="73" customFormat="1" ht="12.75">
      <c r="A163" s="157" t="s">
        <v>257</v>
      </c>
      <c r="B163" s="70"/>
      <c r="C163" s="70"/>
      <c r="D163" s="70"/>
      <c r="E163" s="157" t="s">
        <v>193</v>
      </c>
      <c r="F163" s="158">
        <v>1</v>
      </c>
      <c r="G163" s="158">
        <v>4853.36</v>
      </c>
      <c r="H163" s="67">
        <f>G163*F163</f>
        <v>4853.36</v>
      </c>
      <c r="I163" s="72"/>
    </row>
    <row r="164" spans="1:9" s="73" customFormat="1" ht="12.75">
      <c r="A164" s="147" t="s">
        <v>207</v>
      </c>
      <c r="B164" s="148"/>
      <c r="C164" s="148"/>
      <c r="D164" s="148"/>
      <c r="E164" s="148"/>
      <c r="F164" s="148"/>
      <c r="G164" s="149"/>
      <c r="H164" s="55">
        <f>SUM(H162:H163)</f>
        <v>10329.56</v>
      </c>
      <c r="I164" s="72"/>
    </row>
    <row r="165" spans="1:9" s="73" customFormat="1" ht="12.75">
      <c r="A165" s="69" t="s">
        <v>208</v>
      </c>
      <c r="B165" s="70"/>
      <c r="C165" s="70"/>
      <c r="D165" s="70"/>
      <c r="E165" s="71"/>
      <c r="F165" s="71"/>
      <c r="G165" s="71"/>
      <c r="H165" s="68" t="s">
        <v>202</v>
      </c>
      <c r="I165" s="72"/>
    </row>
    <row r="166" spans="1:9" s="73" customFormat="1" ht="12.75">
      <c r="A166" s="147" t="s">
        <v>209</v>
      </c>
      <c r="B166" s="148"/>
      <c r="C166" s="148"/>
      <c r="D166" s="148"/>
      <c r="E166" s="148"/>
      <c r="F166" s="148"/>
      <c r="G166" s="149"/>
      <c r="H166" s="55">
        <v>0</v>
      </c>
      <c r="I166" s="72"/>
    </row>
    <row r="167" spans="1:9" s="73" customFormat="1" ht="12.75">
      <c r="A167" s="69" t="s">
        <v>210</v>
      </c>
      <c r="B167" s="70"/>
      <c r="C167" s="70"/>
      <c r="D167" s="70"/>
      <c r="E167" s="71"/>
      <c r="F167" s="71"/>
      <c r="G167" s="71"/>
      <c r="H167" s="68" t="s">
        <v>202</v>
      </c>
      <c r="I167" s="72"/>
    </row>
    <row r="168" spans="1:9" s="73" customFormat="1" ht="12.75">
      <c r="A168" s="165" t="s">
        <v>258</v>
      </c>
      <c r="B168" s="70"/>
      <c r="C168" s="70"/>
      <c r="D168" s="70"/>
      <c r="E168" s="165" t="s">
        <v>193</v>
      </c>
      <c r="F168" s="166">
        <v>5</v>
      </c>
      <c r="G168" s="166">
        <v>30.03</v>
      </c>
      <c r="H168" s="67">
        <f>G168*F168</f>
        <v>150.15</v>
      </c>
      <c r="I168" s="72"/>
    </row>
    <row r="169" spans="1:9" s="73" customFormat="1" ht="12.75">
      <c r="A169" s="165" t="s">
        <v>259</v>
      </c>
      <c r="B169" s="70"/>
      <c r="C169" s="70"/>
      <c r="D169" s="70"/>
      <c r="E169" s="165" t="s">
        <v>193</v>
      </c>
      <c r="F169" s="166">
        <v>5</v>
      </c>
      <c r="G169" s="166">
        <v>167.45</v>
      </c>
      <c r="H169" s="67">
        <f>G169*F169</f>
        <v>837.25</v>
      </c>
      <c r="I169" s="72"/>
    </row>
    <row r="170" spans="1:9" s="73" customFormat="1" ht="12.75">
      <c r="A170" s="147" t="s">
        <v>211</v>
      </c>
      <c r="B170" s="148"/>
      <c r="C170" s="148"/>
      <c r="D170" s="148"/>
      <c r="E170" s="148"/>
      <c r="F170" s="148"/>
      <c r="G170" s="149"/>
      <c r="H170" s="55">
        <f>SUM(H168:H169)</f>
        <v>987.4</v>
      </c>
      <c r="I170" s="72"/>
    </row>
    <row r="171" spans="1:9" s="73" customFormat="1" ht="12.75">
      <c r="A171" s="69" t="s">
        <v>212</v>
      </c>
      <c r="B171" s="70"/>
      <c r="C171" s="70"/>
      <c r="D171" s="70"/>
      <c r="E171" s="71"/>
      <c r="F171" s="71"/>
      <c r="G171" s="71"/>
      <c r="H171" s="68" t="s">
        <v>202</v>
      </c>
      <c r="I171" s="72"/>
    </row>
    <row r="172" spans="1:9" s="73" customFormat="1" ht="12.75">
      <c r="A172" s="165" t="s">
        <v>260</v>
      </c>
      <c r="B172" s="70"/>
      <c r="C172" s="70"/>
      <c r="D172" s="70"/>
      <c r="E172" s="165" t="s">
        <v>193</v>
      </c>
      <c r="F172" s="166">
        <v>4</v>
      </c>
      <c r="G172" s="166">
        <v>2.7</v>
      </c>
      <c r="H172" s="67">
        <f>G172*F172</f>
        <v>10.8</v>
      </c>
      <c r="I172" s="72"/>
    </row>
    <row r="173" spans="1:9" s="73" customFormat="1" ht="12.75">
      <c r="A173" s="147" t="s">
        <v>213</v>
      </c>
      <c r="B173" s="148"/>
      <c r="C173" s="148"/>
      <c r="D173" s="148"/>
      <c r="E173" s="148"/>
      <c r="F173" s="148"/>
      <c r="G173" s="149"/>
      <c r="H173" s="55">
        <f>SUM(H172:H172)</f>
        <v>10.8</v>
      </c>
      <c r="I173" s="72"/>
    </row>
    <row r="174" spans="1:9" s="73" customFormat="1" ht="12.75">
      <c r="A174" s="69" t="s">
        <v>214</v>
      </c>
      <c r="B174" s="70"/>
      <c r="C174" s="70"/>
      <c r="D174" s="70"/>
      <c r="E174" s="71"/>
      <c r="F174" s="71"/>
      <c r="G174" s="71"/>
      <c r="H174" s="68" t="s">
        <v>202</v>
      </c>
      <c r="I174" s="72"/>
    </row>
    <row r="175" spans="1:9" s="73" customFormat="1" ht="12.75">
      <c r="A175" s="165" t="s">
        <v>261</v>
      </c>
      <c r="B175" s="70"/>
      <c r="C175" s="70"/>
      <c r="D175" s="70"/>
      <c r="E175" s="165" t="s">
        <v>75</v>
      </c>
      <c r="F175" s="166">
        <v>3.4</v>
      </c>
      <c r="G175" s="166">
        <v>199.95</v>
      </c>
      <c r="H175" s="67">
        <f>G175*F175</f>
        <v>679.8299999999999</v>
      </c>
      <c r="I175" s="72"/>
    </row>
    <row r="176" spans="1:9" s="73" customFormat="1" ht="12.75">
      <c r="A176" s="147" t="s">
        <v>216</v>
      </c>
      <c r="B176" s="148"/>
      <c r="C176" s="148"/>
      <c r="D176" s="148"/>
      <c r="E176" s="148"/>
      <c r="F176" s="148"/>
      <c r="G176" s="149"/>
      <c r="H176" s="55">
        <f>SUM(H175)</f>
        <v>679.8299999999999</v>
      </c>
      <c r="I176" s="72"/>
    </row>
    <row r="177" spans="1:9" s="73" customFormat="1" ht="12.75">
      <c r="A177" s="69" t="s">
        <v>217</v>
      </c>
      <c r="B177" s="70"/>
      <c r="C177" s="70"/>
      <c r="D177" s="70"/>
      <c r="E177" s="71"/>
      <c r="F177" s="71"/>
      <c r="G177" s="71"/>
      <c r="H177" s="68" t="s">
        <v>202</v>
      </c>
      <c r="I177" s="72"/>
    </row>
    <row r="178" spans="1:9" s="73" customFormat="1" ht="12.75">
      <c r="A178" s="165" t="s">
        <v>262</v>
      </c>
      <c r="B178" s="165"/>
      <c r="C178" s="70"/>
      <c r="D178" s="70"/>
      <c r="E178" s="165" t="s">
        <v>193</v>
      </c>
      <c r="F178" s="166">
        <v>4</v>
      </c>
      <c r="G178" s="166">
        <v>35.15</v>
      </c>
      <c r="H178" s="67">
        <f aca="true" t="shared" si="7" ref="H178:H188">G178*F178</f>
        <v>140.6</v>
      </c>
      <c r="I178" s="72"/>
    </row>
    <row r="179" spans="1:9" s="73" customFormat="1" ht="12.75">
      <c r="A179" s="165" t="s">
        <v>263</v>
      </c>
      <c r="B179" s="165"/>
      <c r="C179" s="70"/>
      <c r="D179" s="70"/>
      <c r="E179" s="165" t="s">
        <v>193</v>
      </c>
      <c r="F179" s="166">
        <v>2</v>
      </c>
      <c r="G179" s="166">
        <v>32.69</v>
      </c>
      <c r="H179" s="67">
        <f t="shared" si="7"/>
        <v>65.38</v>
      </c>
      <c r="I179" s="72"/>
    </row>
    <row r="180" spans="1:9" s="73" customFormat="1" ht="12.75">
      <c r="A180" s="165" t="s">
        <v>264</v>
      </c>
      <c r="B180" s="165"/>
      <c r="C180" s="70"/>
      <c r="D180" s="70"/>
      <c r="E180" s="165" t="s">
        <v>193</v>
      </c>
      <c r="F180" s="166">
        <v>4</v>
      </c>
      <c r="G180" s="166">
        <v>157.83</v>
      </c>
      <c r="H180" s="67">
        <f t="shared" si="7"/>
        <v>631.32</v>
      </c>
      <c r="I180" s="72"/>
    </row>
    <row r="181" spans="1:9" s="73" customFormat="1" ht="12.75">
      <c r="A181" s="165" t="s">
        <v>265</v>
      </c>
      <c r="B181" s="165"/>
      <c r="C181" s="70"/>
      <c r="D181" s="70"/>
      <c r="E181" s="165" t="s">
        <v>215</v>
      </c>
      <c r="F181" s="166">
        <v>2.5</v>
      </c>
      <c r="G181" s="166">
        <v>76.24</v>
      </c>
      <c r="H181" s="67">
        <f t="shared" si="7"/>
        <v>190.6</v>
      </c>
      <c r="I181" s="72"/>
    </row>
    <row r="182" spans="1:9" s="73" customFormat="1" ht="12.75">
      <c r="A182" s="167" t="s">
        <v>266</v>
      </c>
      <c r="B182" s="165"/>
      <c r="C182" s="70"/>
      <c r="D182" s="70"/>
      <c r="E182" s="165" t="s">
        <v>193</v>
      </c>
      <c r="F182" s="166">
        <v>1</v>
      </c>
      <c r="G182" s="166">
        <v>24.31</v>
      </c>
      <c r="H182" s="67">
        <f t="shared" si="7"/>
        <v>24.31</v>
      </c>
      <c r="I182" s="72"/>
    </row>
    <row r="183" spans="1:9" s="73" customFormat="1" ht="12.75">
      <c r="A183" s="167" t="s">
        <v>267</v>
      </c>
      <c r="B183" s="165"/>
      <c r="C183" s="70"/>
      <c r="D183" s="70"/>
      <c r="E183" s="165" t="s">
        <v>193</v>
      </c>
      <c r="F183" s="166">
        <v>1</v>
      </c>
      <c r="G183" s="166">
        <v>27.31</v>
      </c>
      <c r="H183" s="67">
        <f t="shared" si="7"/>
        <v>27.31</v>
      </c>
      <c r="I183" s="72"/>
    </row>
    <row r="184" spans="1:9" s="73" customFormat="1" ht="12.75">
      <c r="A184" s="167" t="s">
        <v>268</v>
      </c>
      <c r="B184" s="165"/>
      <c r="C184" s="70"/>
      <c r="D184" s="70"/>
      <c r="E184" s="165" t="s">
        <v>193</v>
      </c>
      <c r="F184" s="166">
        <v>1</v>
      </c>
      <c r="G184" s="166">
        <v>13.69</v>
      </c>
      <c r="H184" s="67">
        <f t="shared" si="7"/>
        <v>13.69</v>
      </c>
      <c r="I184" s="72"/>
    </row>
    <row r="185" spans="1:9" s="73" customFormat="1" ht="12.75">
      <c r="A185" s="165" t="s">
        <v>269</v>
      </c>
      <c r="B185" s="165"/>
      <c r="C185" s="70"/>
      <c r="D185" s="70"/>
      <c r="E185" s="165" t="s">
        <v>193</v>
      </c>
      <c r="F185" s="166">
        <v>4</v>
      </c>
      <c r="G185" s="166">
        <v>13.69</v>
      </c>
      <c r="H185" s="67">
        <f t="shared" si="7"/>
        <v>54.76</v>
      </c>
      <c r="I185" s="72"/>
    </row>
    <row r="186" spans="1:9" s="73" customFormat="1" ht="12.75">
      <c r="A186" s="165" t="s">
        <v>270</v>
      </c>
      <c r="B186" s="165"/>
      <c r="C186" s="70"/>
      <c r="D186" s="70"/>
      <c r="E186" s="165" t="s">
        <v>193</v>
      </c>
      <c r="F186" s="166">
        <v>4</v>
      </c>
      <c r="G186" s="166">
        <v>24.31</v>
      </c>
      <c r="H186" s="67">
        <f t="shared" si="7"/>
        <v>97.24</v>
      </c>
      <c r="I186" s="72"/>
    </row>
    <row r="187" spans="1:9" s="73" customFormat="1" ht="12.75">
      <c r="A187" s="165" t="s">
        <v>271</v>
      </c>
      <c r="B187" s="165"/>
      <c r="C187" s="70"/>
      <c r="D187" s="70"/>
      <c r="E187" s="165" t="s">
        <v>193</v>
      </c>
      <c r="F187" s="166">
        <v>4</v>
      </c>
      <c r="G187" s="166">
        <v>25.61</v>
      </c>
      <c r="H187" s="67">
        <f t="shared" si="7"/>
        <v>102.44</v>
      </c>
      <c r="I187" s="72"/>
    </row>
    <row r="188" spans="1:9" s="73" customFormat="1" ht="12.75">
      <c r="A188" s="167" t="s">
        <v>272</v>
      </c>
      <c r="B188" s="165"/>
      <c r="C188" s="70"/>
      <c r="D188" s="70"/>
      <c r="E188" s="165" t="s">
        <v>193</v>
      </c>
      <c r="F188" s="166">
        <v>1</v>
      </c>
      <c r="G188" s="166">
        <v>101.24</v>
      </c>
      <c r="H188" s="67">
        <f t="shared" si="7"/>
        <v>101.24</v>
      </c>
      <c r="I188" s="72"/>
    </row>
    <row r="189" spans="1:9" s="73" customFormat="1" ht="12.75">
      <c r="A189" s="167" t="s">
        <v>273</v>
      </c>
      <c r="B189" s="165"/>
      <c r="C189" s="70"/>
      <c r="D189" s="70"/>
      <c r="E189" s="165" t="s">
        <v>193</v>
      </c>
      <c r="F189" s="166">
        <v>1</v>
      </c>
      <c r="G189" s="166">
        <v>25.61</v>
      </c>
      <c r="H189" s="67">
        <f>G189*F189</f>
        <v>25.61</v>
      </c>
      <c r="I189" s="72"/>
    </row>
    <row r="190" spans="1:9" s="73" customFormat="1" ht="12.75">
      <c r="A190" s="167" t="s">
        <v>268</v>
      </c>
      <c r="B190" s="165"/>
      <c r="C190" s="70"/>
      <c r="D190" s="70"/>
      <c r="E190" s="165" t="s">
        <v>193</v>
      </c>
      <c r="F190" s="166">
        <v>1</v>
      </c>
      <c r="G190" s="166">
        <v>13.69</v>
      </c>
      <c r="H190" s="67">
        <f>G190*F190</f>
        <v>13.69</v>
      </c>
      <c r="I190" s="72"/>
    </row>
    <row r="191" spans="1:9" s="73" customFormat="1" ht="12.75">
      <c r="A191" s="165" t="s">
        <v>274</v>
      </c>
      <c r="B191" s="70"/>
      <c r="C191" s="70"/>
      <c r="D191" s="70"/>
      <c r="E191" s="165" t="s">
        <v>193</v>
      </c>
      <c r="F191" s="166">
        <v>4</v>
      </c>
      <c r="G191" s="166">
        <v>101.35</v>
      </c>
      <c r="H191" s="67">
        <f>G191*F191</f>
        <v>405.4</v>
      </c>
      <c r="I191" s="72"/>
    </row>
    <row r="192" spans="1:9" s="73" customFormat="1" ht="12.75">
      <c r="A192" s="165" t="s">
        <v>275</v>
      </c>
      <c r="B192" s="70"/>
      <c r="C192" s="70"/>
      <c r="D192" s="70"/>
      <c r="E192" s="165" t="s">
        <v>193</v>
      </c>
      <c r="F192" s="166">
        <v>1</v>
      </c>
      <c r="G192" s="166">
        <v>228.11</v>
      </c>
      <c r="H192" s="67">
        <f>G192*F192</f>
        <v>228.11</v>
      </c>
      <c r="I192" s="72"/>
    </row>
    <row r="193" spans="1:9" s="73" customFormat="1" ht="12.75">
      <c r="A193" s="165" t="s">
        <v>276</v>
      </c>
      <c r="B193" s="70"/>
      <c r="C193" s="70"/>
      <c r="D193" s="70"/>
      <c r="E193" s="165" t="s">
        <v>193</v>
      </c>
      <c r="F193" s="166">
        <v>1</v>
      </c>
      <c r="G193" s="166">
        <v>360.53</v>
      </c>
      <c r="H193" s="67">
        <f>G193*F193</f>
        <v>360.53</v>
      </c>
      <c r="I193" s="72"/>
    </row>
    <row r="194" spans="1:9" s="73" customFormat="1" ht="12.75">
      <c r="A194" s="147" t="s">
        <v>218</v>
      </c>
      <c r="B194" s="148"/>
      <c r="C194" s="148"/>
      <c r="D194" s="148"/>
      <c r="E194" s="148"/>
      <c r="F194" s="148"/>
      <c r="G194" s="149"/>
      <c r="H194" s="55">
        <f>SUM(H178:H193)</f>
        <v>2482.2300000000005</v>
      </c>
      <c r="I194" s="72"/>
    </row>
    <row r="195" spans="1:9" s="156" customFormat="1" ht="12.75">
      <c r="A195" s="168" t="s">
        <v>231</v>
      </c>
      <c r="B195" s="169"/>
      <c r="C195" s="169"/>
      <c r="D195" s="169"/>
      <c r="E195" s="170"/>
      <c r="F195" s="170"/>
      <c r="G195" s="170"/>
      <c r="H195" s="171">
        <v>19520.97</v>
      </c>
      <c r="I195" s="172"/>
    </row>
    <row r="196" spans="1:10" s="73" customFormat="1" ht="12.75">
      <c r="A196" s="173" t="s">
        <v>234</v>
      </c>
      <c r="B196" s="174"/>
      <c r="C196" s="174"/>
      <c r="D196" s="174"/>
      <c r="E196" s="174"/>
      <c r="F196" s="174"/>
      <c r="G196" s="175"/>
      <c r="H196" s="55">
        <f>+H195+H194+H176+H173+H170+H164+H160+H153+H146+H132</f>
        <v>50339.172</v>
      </c>
      <c r="I196" s="72"/>
      <c r="J196" s="144"/>
    </row>
    <row r="197" spans="1:9" s="73" customFormat="1" ht="12.75">
      <c r="A197" s="147"/>
      <c r="B197" s="148"/>
      <c r="C197" s="148"/>
      <c r="D197" s="148"/>
      <c r="E197" s="148"/>
      <c r="F197" s="148"/>
      <c r="G197" s="149"/>
      <c r="H197" s="55"/>
      <c r="I197" s="72"/>
    </row>
    <row r="198" spans="1:8" ht="12.75">
      <c r="A198" s="131"/>
      <c r="B198" s="132"/>
      <c r="C198" s="132"/>
      <c r="D198" s="132"/>
      <c r="E198" s="132"/>
      <c r="F198" s="132"/>
      <c r="G198" s="133"/>
      <c r="H198" s="55"/>
    </row>
  </sheetData>
  <sheetProtection/>
  <mergeCells count="190">
    <mergeCell ref="A95:D95"/>
    <mergeCell ref="E95:H95"/>
    <mergeCell ref="A194:G194"/>
    <mergeCell ref="A117:D117"/>
    <mergeCell ref="A123:G123"/>
    <mergeCell ref="A125:G125"/>
    <mergeCell ref="A132:G132"/>
    <mergeCell ref="A146:G146"/>
    <mergeCell ref="A153:G153"/>
    <mergeCell ref="C111:D111"/>
    <mergeCell ref="A198:G198"/>
    <mergeCell ref="A160:G160"/>
    <mergeCell ref="A164:G164"/>
    <mergeCell ref="A166:G166"/>
    <mergeCell ref="A170:G170"/>
    <mergeCell ref="A173:G173"/>
    <mergeCell ref="A176:G176"/>
    <mergeCell ref="G111:H111"/>
    <mergeCell ref="A112:B112"/>
    <mergeCell ref="C112:D112"/>
    <mergeCell ref="E112:F112"/>
    <mergeCell ref="G112:H112"/>
    <mergeCell ref="A18:B19"/>
    <mergeCell ref="C18:E18"/>
    <mergeCell ref="D13:F13"/>
    <mergeCell ref="A114:E115"/>
    <mergeCell ref="A40:D40"/>
    <mergeCell ref="A38:D39"/>
    <mergeCell ref="A34:B34"/>
    <mergeCell ref="C34:E34"/>
    <mergeCell ref="A111:B111"/>
    <mergeCell ref="E111:F111"/>
    <mergeCell ref="A31:B31"/>
    <mergeCell ref="C31:E31"/>
    <mergeCell ref="F31:H31"/>
    <mergeCell ref="A28:B28"/>
    <mergeCell ref="C28:E28"/>
    <mergeCell ref="A7:B7"/>
    <mergeCell ref="G3:G5"/>
    <mergeCell ref="H3:H5"/>
    <mergeCell ref="A13:B13"/>
    <mergeCell ref="D9:F9"/>
    <mergeCell ref="D10:F10"/>
    <mergeCell ref="D11:F11"/>
    <mergeCell ref="D12:F12"/>
    <mergeCell ref="A27:B27"/>
    <mergeCell ref="C27:E27"/>
    <mergeCell ref="A33:B33"/>
    <mergeCell ref="A1:G1"/>
    <mergeCell ref="A12:B12"/>
    <mergeCell ref="A8:B8"/>
    <mergeCell ref="A9:B9"/>
    <mergeCell ref="A10:B10"/>
    <mergeCell ref="A11:B11"/>
    <mergeCell ref="D7:F7"/>
    <mergeCell ref="A24:B24"/>
    <mergeCell ref="C24:E24"/>
    <mergeCell ref="A25:B25"/>
    <mergeCell ref="C25:E25"/>
    <mergeCell ref="A46:D46"/>
    <mergeCell ref="A47:D47"/>
    <mergeCell ref="A49:D49"/>
    <mergeCell ref="A41:D41"/>
    <mergeCell ref="A42:D42"/>
    <mergeCell ref="A43:D43"/>
    <mergeCell ref="A54:D54"/>
    <mergeCell ref="A55:D55"/>
    <mergeCell ref="A56:D56"/>
    <mergeCell ref="A67:D67"/>
    <mergeCell ref="A61:D61"/>
    <mergeCell ref="A62:D62"/>
    <mergeCell ref="A63:D63"/>
    <mergeCell ref="A64:D64"/>
    <mergeCell ref="A65:D65"/>
    <mergeCell ref="A66:D66"/>
    <mergeCell ref="K7:K8"/>
    <mergeCell ref="I10:J12"/>
    <mergeCell ref="K10:K12"/>
    <mergeCell ref="A53:D53"/>
    <mergeCell ref="A44:D44"/>
    <mergeCell ref="A50:D50"/>
    <mergeCell ref="A51:D51"/>
    <mergeCell ref="A52:D52"/>
    <mergeCell ref="A48:D48"/>
    <mergeCell ref="A45:D45"/>
    <mergeCell ref="C20:D20"/>
    <mergeCell ref="F27:H27"/>
    <mergeCell ref="I4:J5"/>
    <mergeCell ref="I7:J8"/>
    <mergeCell ref="D8:F8"/>
    <mergeCell ref="F24:H24"/>
    <mergeCell ref="C22:E22"/>
    <mergeCell ref="A57:D57"/>
    <mergeCell ref="F19:G19"/>
    <mergeCell ref="E38:E39"/>
    <mergeCell ref="A36:C36"/>
    <mergeCell ref="A26:B26"/>
    <mergeCell ref="F22:H22"/>
    <mergeCell ref="F23:H23"/>
    <mergeCell ref="A20:B20"/>
    <mergeCell ref="A58:D58"/>
    <mergeCell ref="I38:I39"/>
    <mergeCell ref="F18:H18"/>
    <mergeCell ref="F26:H26"/>
    <mergeCell ref="F34:H34"/>
    <mergeCell ref="D36:J36"/>
    <mergeCell ref="C19:D19"/>
    <mergeCell ref="F20:G20"/>
    <mergeCell ref="F25:H25"/>
    <mergeCell ref="C26:E26"/>
    <mergeCell ref="A86:D86"/>
    <mergeCell ref="E86:H86"/>
    <mergeCell ref="K14:K15"/>
    <mergeCell ref="I15:J15"/>
    <mergeCell ref="D14:F14"/>
    <mergeCell ref="A23:B23"/>
    <mergeCell ref="C23:E23"/>
    <mergeCell ref="J38:J39"/>
    <mergeCell ref="F37:J37"/>
    <mergeCell ref="A78:D78"/>
    <mergeCell ref="A79:D79"/>
    <mergeCell ref="A80:D80"/>
    <mergeCell ref="A59:D59"/>
    <mergeCell ref="A60:D60"/>
    <mergeCell ref="A69:D69"/>
    <mergeCell ref="A70:D70"/>
    <mergeCell ref="A71:D71"/>
    <mergeCell ref="A72:D72"/>
    <mergeCell ref="A68:D68"/>
    <mergeCell ref="A98:D98"/>
    <mergeCell ref="A73:D73"/>
    <mergeCell ref="A74:D74"/>
    <mergeCell ref="A75:D75"/>
    <mergeCell ref="A76:D76"/>
    <mergeCell ref="A81:D81"/>
    <mergeCell ref="A82:D82"/>
    <mergeCell ref="A83:D83"/>
    <mergeCell ref="A77:D77"/>
    <mergeCell ref="A85:D85"/>
    <mergeCell ref="A84:D84"/>
    <mergeCell ref="E90:H90"/>
    <mergeCell ref="A87:D87"/>
    <mergeCell ref="E87:H87"/>
    <mergeCell ref="A90:D90"/>
    <mergeCell ref="A89:D89"/>
    <mergeCell ref="E89:H89"/>
    <mergeCell ref="A88:D88"/>
    <mergeCell ref="E88:H88"/>
    <mergeCell ref="E85:H85"/>
    <mergeCell ref="C33:E33"/>
    <mergeCell ref="F33:H33"/>
    <mergeCell ref="F38:G38"/>
    <mergeCell ref="H38:H39"/>
    <mergeCell ref="F28:H28"/>
    <mergeCell ref="A32:B32"/>
    <mergeCell ref="C32:E32"/>
    <mergeCell ref="F32:H32"/>
    <mergeCell ref="F29:H29"/>
    <mergeCell ref="A30:B30"/>
    <mergeCell ref="C30:E30"/>
    <mergeCell ref="F30:H30"/>
    <mergeCell ref="A29:B29"/>
    <mergeCell ref="C29:E29"/>
    <mergeCell ref="A93:D93"/>
    <mergeCell ref="E93:H93"/>
    <mergeCell ref="A91:D91"/>
    <mergeCell ref="A94:D94"/>
    <mergeCell ref="E91:H91"/>
    <mergeCell ref="A92:D92"/>
    <mergeCell ref="E94:H94"/>
    <mergeCell ref="E92:H92"/>
    <mergeCell ref="A104:I104"/>
    <mergeCell ref="A103:I103"/>
    <mergeCell ref="A101:I101"/>
    <mergeCell ref="A99:D99"/>
    <mergeCell ref="A102:I102"/>
    <mergeCell ref="A108:B108"/>
    <mergeCell ref="C108:D108"/>
    <mergeCell ref="A107:B107"/>
    <mergeCell ref="C107:D107"/>
    <mergeCell ref="E107:F107"/>
    <mergeCell ref="G107:H107"/>
    <mergeCell ref="A197:G197"/>
    <mergeCell ref="A96:D96"/>
    <mergeCell ref="E96:H96"/>
    <mergeCell ref="E108:F108"/>
    <mergeCell ref="G108:H108"/>
    <mergeCell ref="A100:D100"/>
    <mergeCell ref="A97:D97"/>
    <mergeCell ref="E97:H97"/>
  </mergeCells>
  <printOptions/>
  <pageMargins left="0.2755905511811024" right="0.2755905511811024" top="0.31496062992125984" bottom="0.3937007874015748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2013-02-23T15:00:56Z</dcterms:modified>
  <cp:category/>
  <cp:version/>
  <cp:contentType/>
  <cp:contentStatus/>
</cp:coreProperties>
</file>