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30" windowWidth="12150" windowHeight="11385" activeTab="0"/>
  </bookViews>
  <sheets>
    <sheet name="Свердлова 25б" sheetId="1" r:id="rId1"/>
  </sheets>
  <definedNames/>
  <calcPr fullCalcOnLoad="1"/>
</workbook>
</file>

<file path=xl/sharedStrings.xml><?xml version="1.0" encoding="utf-8"?>
<sst xmlns="http://schemas.openxmlformats.org/spreadsheetml/2006/main" count="319" uniqueCount="239">
  <si>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</si>
  <si>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</si>
  <si>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</si>
  <si>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</si>
  <si>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</si>
  <si>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</si>
  <si>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</si>
  <si>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</si>
  <si>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</si>
  <si>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</si>
  <si>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</si>
  <si>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</si>
  <si>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</si>
  <si>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</si>
  <si>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</si>
  <si>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</si>
  <si>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</si>
  <si>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</si>
  <si>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</si>
  <si>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</si>
  <si>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</si>
  <si>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</si>
  <si>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</si>
  <si>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</si>
  <si>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</si>
  <si>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</si>
  <si>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</si>
  <si>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</si>
  <si>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</si>
  <si>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</si>
  <si>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</si>
  <si>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</si>
  <si>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</si>
  <si>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</si>
  <si>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</si>
  <si>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</si>
  <si>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</si>
  <si>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</si>
  <si>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</si>
  <si>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</si>
  <si>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</si>
  <si>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</si>
  <si>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</si>
  <si>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</si>
  <si>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</si>
  <si>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</si>
  <si>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</si>
  <si>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</si>
  <si>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</si>
  <si>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</si>
  <si>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</si>
  <si>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</si>
  <si>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</si>
  <si>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</si>
  <si>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</si>
  <si>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</si>
  <si>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</si>
  <si>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</si>
  <si>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</si>
  <si>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</si>
  <si>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</si>
  <si>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</si>
  <si>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</si>
  <si>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</si>
  <si>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</si>
  <si>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</si>
  <si>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</si>
  <si>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</si>
  <si>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</si>
  <si>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</si>
  <si>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</si>
  <si>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</si>
  <si>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</si>
  <si>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</si>
  <si>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</si>
  <si>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</si>
  <si>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</si>
  <si>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</si>
  <si>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</si>
  <si>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</si>
  <si>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</si>
  <si>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</si>
  <si>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</si>
  <si>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</si>
  <si>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</si>
  <si>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</si>
  <si>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</si>
  <si>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</si>
  <si>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</si>
  <si>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</si>
  <si>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</si>
  <si>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</si>
  <si>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</si>
  <si>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</si>
  <si>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</si>
  <si>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</si>
  <si>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</si>
  <si>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</si>
  <si>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</si>
  <si>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</si>
  <si>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</si>
  <si>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</si>
  <si>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</si>
  <si>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</si>
  <si>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</si>
  <si>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</si>
  <si>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</si>
  <si>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</si>
  <si>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</si>
  <si>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</si>
  <si>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</si>
  <si>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</si>
  <si>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</si>
  <si>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</si>
  <si>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</si>
  <si>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</si>
  <si>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</si>
  <si>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</si>
  <si>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</si>
  <si>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</si>
  <si>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</si>
  <si>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</si>
  <si>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</si>
  <si>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</si>
  <si>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</si>
  <si>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</si>
  <si>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</si>
  <si>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</si>
  <si>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</si>
  <si>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</si>
  <si>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</si>
  <si>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</si>
  <si>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</si>
  <si>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</si>
  <si>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 xml:space="preserve">Ф100 -лежачка чуг </t>
  </si>
  <si>
    <t>ф89-4шт</t>
  </si>
  <si>
    <t>1</t>
  </si>
  <si>
    <t>ф100-1шт</t>
  </si>
  <si>
    <t>ф50-2шт</t>
  </si>
  <si>
    <t>вентиль - 22шт</t>
  </si>
  <si>
    <t>кран - 22шт</t>
  </si>
  <si>
    <t>вентиль -7шт</t>
  </si>
  <si>
    <t>кран  -8шт</t>
  </si>
  <si>
    <t>вентиль-5шт</t>
  </si>
  <si>
    <t>кран-4шт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</si>
  <si>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</si>
  <si>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</si>
  <si>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</si>
  <si>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</si>
  <si>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</si>
  <si>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</si>
  <si>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</si>
  <si>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</si>
  <si>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</si>
  <si>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</si>
  <si>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</si>
  <si>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</si>
  <si>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</si>
  <si>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</si>
  <si>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</si>
  <si>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</si>
  <si>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</si>
  <si>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</si>
  <si>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</si>
  <si>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</si>
  <si>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</si>
  <si>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</si>
  <si>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</si>
  <si>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</si>
  <si>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</si>
  <si>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</si>
  <si>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ИТОГО за 12 месяцев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</si>
  <si>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</si>
  <si>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</si>
  <si>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</si>
  <si>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</si>
  <si>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</si>
  <si>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</si>
  <si>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</si>
  <si>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</si>
  <si>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</si>
  <si>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</si>
  <si>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ООО "ЭО Русь" измерение сопротивления "фаза-нуль"</t>
  </si>
  <si>
    <t>ООО "ЭО Русь" техосвидетельствование лифтов</t>
  </si>
  <si>
    <t>кг</t>
  </si>
  <si>
    <t>отчет по затратам на содержание и ремонт общего имущества многоквартирного дома по адресу: ул. Свердлова, д. 25б за 2012 год</t>
  </si>
  <si>
    <t>Начислено за 2006-2011 годы</t>
  </si>
  <si>
    <t>Начислено за 2012год</t>
  </si>
  <si>
    <t>почтовые ящики</t>
  </si>
  <si>
    <t>манометр МП 100-10</t>
  </si>
  <si>
    <t>оправа д/терм</t>
  </si>
  <si>
    <t>бобышка д/терм</t>
  </si>
  <si>
    <t>стекло 4*2550*1605</t>
  </si>
  <si>
    <t>эмаль ПФ-115(желто-коричн)</t>
  </si>
  <si>
    <t>труба ПВХ Д=110 мм  (кз) L=0,5м</t>
  </si>
  <si>
    <t xml:space="preserve">манжета перех. Д=110*123(кз) </t>
  </si>
  <si>
    <t>труба ПВХ Д=110 мм(кз)</t>
  </si>
  <si>
    <t>ревизия Д=110мм ПВХ(кз)</t>
  </si>
  <si>
    <t>патрубок комп. Д=110 мм ПВХ(кз)</t>
  </si>
  <si>
    <t>манжета пер. Д=73*50(кз)</t>
  </si>
  <si>
    <t>м</t>
  </si>
  <si>
    <t>труба профильная 30*30 мм</t>
  </si>
  <si>
    <t>труба профильная 15*15 мм</t>
  </si>
  <si>
    <t>бочата 3/4(?)</t>
  </si>
  <si>
    <t>грунт растительный</t>
  </si>
  <si>
    <t>м3</t>
  </si>
  <si>
    <t>муфта нар.Д=40 мм ппр(хвс)</t>
  </si>
  <si>
    <t>муфта ком. разъемн.нар.Д=25*3/4мм ппр(хвс)</t>
  </si>
  <si>
    <t>муфта нар.Д=25*3/4мм ппр(хвс)</t>
  </si>
  <si>
    <t>муфта ком. разъемн.внут.Д=25*3/4мм ппр(хвс)</t>
  </si>
  <si>
    <t>муфта разъемн.внут.Д=40*1мм ппр(хвс)</t>
  </si>
  <si>
    <t>муфта 1/2-3/4 ник(хвс)</t>
  </si>
  <si>
    <t>муфта соед. Д=20мм(хвс)ппр</t>
  </si>
  <si>
    <t>труба Д=40 мм ппр(хвс)</t>
  </si>
  <si>
    <t>тройник ДУ 20 мм ппр(хвс)</t>
  </si>
  <si>
    <t>угольник Д=25*90 мм ппр(хвс)</t>
  </si>
  <si>
    <t>угольник Д=40*45 мм ппр(хвс)</t>
  </si>
  <si>
    <t>угольник Д=40*90 мм ппр(хвс)</t>
  </si>
  <si>
    <t>труба Д=25 мм арм.ппр(хвс)</t>
  </si>
  <si>
    <t>труба Д=20 мм арм.ппр(хвс)</t>
  </si>
  <si>
    <t>труба Д=20*25 мм .ппр(хвс)</t>
  </si>
  <si>
    <t>эмаль ПФ 115 желто-корич.</t>
  </si>
  <si>
    <t>эмаль ПФ 115 белая</t>
  </si>
  <si>
    <t>труба проф. 30*30*1,5</t>
  </si>
  <si>
    <t>труба проф. 50*25*1,5 1/2пс</t>
  </si>
  <si>
    <t>штукатурка теплон</t>
  </si>
  <si>
    <t>цемент М500</t>
  </si>
  <si>
    <t>сгон ДУ 20 мм(цо)</t>
  </si>
  <si>
    <t>контро-гайка 20 мм(цо)</t>
  </si>
  <si>
    <t>муфта ДУ 20 мм черн.(цо)</t>
  </si>
  <si>
    <t>радиатор цуг. МС 140 М(4 сек.) 500</t>
  </si>
  <si>
    <t>сек.</t>
  </si>
  <si>
    <t xml:space="preserve">гидроизол ХКП </t>
  </si>
  <si>
    <t>рул.</t>
  </si>
  <si>
    <t>ДОХОДЫ ДОМА ЗА ПЕРИОД  ____2012 год__________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</si>
  <si>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</si>
  <si>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 </t>
  </si>
  <si>
    <t xml:space="preserve">Мытьё лестничных площадок и маршей нижних 3 этажей   </t>
  </si>
  <si>
    <t xml:space="preserve">Мытьё лестничных площадок и маршей выше 3 этажа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</si>
</sst>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7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2" fontId="8" fillId="0" borderId="17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view="pageBreakPreview" zoomScale="60" zoomScalePageLayoutView="0" workbookViewId="0" topLeftCell="A1">
      <selection activeCell="G68" sqref="G68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43" t="s">
        <v>185</v>
      </c>
      <c r="B1" s="143"/>
      <c r="C1" s="143"/>
      <c r="D1" s="143"/>
      <c r="E1" s="143"/>
      <c r="F1" s="143"/>
      <c r="G1" s="143"/>
      <c r="I1"/>
    </row>
    <row r="2" spans="1:12" ht="12.75">
      <c r="A2" t="s">
        <v>0</v>
      </c>
      <c r="C2">
        <v>1971</v>
      </c>
      <c r="D2" t="s">
        <v>1</v>
      </c>
      <c r="F2">
        <v>9</v>
      </c>
      <c r="G2" t="s">
        <v>2</v>
      </c>
      <c r="H2" s="31">
        <v>54</v>
      </c>
      <c r="I2" s="2"/>
      <c r="J2" s="3" t="s">
        <v>172</v>
      </c>
      <c r="K2" s="2" t="s">
        <v>3</v>
      </c>
      <c r="L2" s="3" t="s">
        <v>4</v>
      </c>
    </row>
    <row r="3" spans="1:12" ht="12.75">
      <c r="A3" t="s">
        <v>5</v>
      </c>
      <c r="C3">
        <v>16</v>
      </c>
      <c r="D3" t="s">
        <v>6</v>
      </c>
      <c r="F3">
        <v>1</v>
      </c>
      <c r="G3" s="144" t="s">
        <v>7</v>
      </c>
      <c r="H3" s="147">
        <v>0</v>
      </c>
      <c r="I3" s="2" t="s">
        <v>8</v>
      </c>
      <c r="J3" s="2">
        <v>80.2</v>
      </c>
      <c r="K3" s="52" t="s">
        <v>135</v>
      </c>
      <c r="L3" s="52" t="s">
        <v>139</v>
      </c>
    </row>
    <row r="4" spans="1:12" ht="12.75">
      <c r="A4" t="s">
        <v>9</v>
      </c>
      <c r="C4" t="s">
        <v>133</v>
      </c>
      <c r="D4" t="s">
        <v>10</v>
      </c>
      <c r="F4" s="44" t="s">
        <v>136</v>
      </c>
      <c r="G4" s="145"/>
      <c r="H4" s="148"/>
      <c r="I4" s="137"/>
      <c r="J4" s="138"/>
      <c r="K4" s="52"/>
      <c r="L4" s="52" t="s">
        <v>140</v>
      </c>
    </row>
    <row r="5" spans="1:12" ht="12.75">
      <c r="A5" t="s">
        <v>11</v>
      </c>
      <c r="C5" t="s">
        <v>12</v>
      </c>
      <c r="D5" t="s">
        <v>13</v>
      </c>
      <c r="G5" s="146"/>
      <c r="H5" s="149"/>
      <c r="I5" s="139"/>
      <c r="J5" s="140"/>
      <c r="K5" s="52"/>
      <c r="L5" s="53"/>
    </row>
    <row r="6" spans="9:12" ht="12.75">
      <c r="I6" s="2" t="s">
        <v>14</v>
      </c>
      <c r="J6" s="2">
        <v>127.7</v>
      </c>
      <c r="K6" s="53" t="s">
        <v>138</v>
      </c>
      <c r="L6" s="54" t="s">
        <v>141</v>
      </c>
    </row>
    <row r="7" spans="1:12" ht="12.75">
      <c r="A7" s="128" t="s">
        <v>15</v>
      </c>
      <c r="B7" s="130"/>
      <c r="C7" s="1" t="s">
        <v>16</v>
      </c>
      <c r="D7" s="128" t="s">
        <v>17</v>
      </c>
      <c r="E7" s="129"/>
      <c r="F7" s="130"/>
      <c r="G7" s="1" t="s">
        <v>16</v>
      </c>
      <c r="I7" s="137"/>
      <c r="J7" s="138"/>
      <c r="K7" s="135"/>
      <c r="L7" s="52" t="s">
        <v>142</v>
      </c>
    </row>
    <row r="8" spans="1:12" ht="12.75">
      <c r="A8" s="102" t="s">
        <v>18</v>
      </c>
      <c r="B8" s="102"/>
      <c r="C8">
        <v>2324.2</v>
      </c>
      <c r="D8" s="128" t="s">
        <v>19</v>
      </c>
      <c r="E8" s="129"/>
      <c r="F8" s="130"/>
      <c r="G8" s="45">
        <v>105.3</v>
      </c>
      <c r="I8" s="139"/>
      <c r="J8" s="140"/>
      <c r="K8" s="136"/>
      <c r="L8" s="52"/>
    </row>
    <row r="9" spans="1:12" ht="12.75">
      <c r="A9" s="102" t="s">
        <v>20</v>
      </c>
      <c r="B9" s="102"/>
      <c r="C9">
        <v>1535.1</v>
      </c>
      <c r="D9" s="128" t="s">
        <v>21</v>
      </c>
      <c r="E9" s="129"/>
      <c r="F9" s="130"/>
      <c r="G9" s="51">
        <f>572+164.4+60.6+164.4</f>
        <v>961.4</v>
      </c>
      <c r="I9" s="2" t="s">
        <v>22</v>
      </c>
      <c r="J9" s="2">
        <v>127.7</v>
      </c>
      <c r="K9" s="52" t="s">
        <v>137</v>
      </c>
      <c r="L9" s="52" t="s">
        <v>143</v>
      </c>
    </row>
    <row r="10" spans="1:12" ht="12.75">
      <c r="A10" s="102" t="s">
        <v>23</v>
      </c>
      <c r="B10" s="102"/>
      <c r="C10" s="45">
        <v>789.1</v>
      </c>
      <c r="D10" s="128" t="s">
        <v>24</v>
      </c>
      <c r="E10" s="129"/>
      <c r="F10" s="130"/>
      <c r="G10">
        <v>276</v>
      </c>
      <c r="I10" s="141"/>
      <c r="J10" s="141"/>
      <c r="K10" s="135"/>
      <c r="L10" s="52" t="s">
        <v>144</v>
      </c>
    </row>
    <row r="11" spans="1:12" ht="12.75" customHeight="1">
      <c r="A11" s="102" t="s">
        <v>25</v>
      </c>
      <c r="B11" s="102"/>
      <c r="C11">
        <v>0</v>
      </c>
      <c r="D11" s="128" t="s">
        <v>26</v>
      </c>
      <c r="E11" s="129"/>
      <c r="F11" s="130"/>
      <c r="G11">
        <v>512</v>
      </c>
      <c r="I11" s="141"/>
      <c r="J11" s="141"/>
      <c r="K11" s="142"/>
      <c r="L11" s="52"/>
    </row>
    <row r="12" spans="1:12" ht="12.75">
      <c r="A12" s="102" t="s">
        <v>27</v>
      </c>
      <c r="B12" s="102"/>
      <c r="C12" s="5">
        <v>302</v>
      </c>
      <c r="D12" s="128" t="s">
        <v>28</v>
      </c>
      <c r="E12" s="129"/>
      <c r="F12" s="130"/>
      <c r="G12">
        <v>1800</v>
      </c>
      <c r="I12" s="141"/>
      <c r="J12" s="141"/>
      <c r="K12" s="142"/>
      <c r="L12" s="52"/>
    </row>
    <row r="13" spans="1:12" ht="12.75">
      <c r="A13" s="110" t="s">
        <v>29</v>
      </c>
      <c r="B13" s="110"/>
      <c r="C13" s="5">
        <v>385</v>
      </c>
      <c r="D13" s="128" t="s">
        <v>30</v>
      </c>
      <c r="E13" s="129"/>
      <c r="F13" s="130"/>
      <c r="G13">
        <v>0</v>
      </c>
      <c r="I13" s="4"/>
      <c r="J13" s="2" t="s">
        <v>172</v>
      </c>
      <c r="K13" s="55" t="s">
        <v>31</v>
      </c>
      <c r="L13" s="55" t="s">
        <v>32</v>
      </c>
    </row>
    <row r="14" spans="4:12" ht="12.75">
      <c r="D14" s="128" t="s">
        <v>33</v>
      </c>
      <c r="E14" s="129"/>
      <c r="F14" s="130"/>
      <c r="G14" s="7"/>
      <c r="I14" s="2" t="s">
        <v>34</v>
      </c>
      <c r="J14" s="8">
        <v>127.7</v>
      </c>
      <c r="K14" s="131" t="s">
        <v>134</v>
      </c>
      <c r="L14" s="3"/>
    </row>
    <row r="15" spans="6:12" ht="12.75">
      <c r="F15" s="9" t="s">
        <v>35</v>
      </c>
      <c r="G15" s="56">
        <v>26.23</v>
      </c>
      <c r="I15" s="133"/>
      <c r="J15" s="134"/>
      <c r="K15" s="132"/>
      <c r="L15" s="3"/>
    </row>
    <row r="16" ht="12.75">
      <c r="B16" t="s">
        <v>234</v>
      </c>
    </row>
    <row r="18" spans="1:9" ht="39.75" customHeight="1">
      <c r="A18" s="127" t="s">
        <v>36</v>
      </c>
      <c r="B18" s="127"/>
      <c r="C18" s="110" t="s">
        <v>173</v>
      </c>
      <c r="D18" s="110"/>
      <c r="E18" s="110"/>
      <c r="F18" s="111" t="s">
        <v>37</v>
      </c>
      <c r="G18" s="112"/>
      <c r="H18" s="100"/>
      <c r="I18" s="10"/>
    </row>
    <row r="19" spans="1:8" ht="31.5" customHeight="1">
      <c r="A19" s="127"/>
      <c r="B19" s="127"/>
      <c r="C19" s="111" t="s">
        <v>38</v>
      </c>
      <c r="D19" s="100"/>
      <c r="E19" s="11" t="s">
        <v>39</v>
      </c>
      <c r="F19" s="111" t="s">
        <v>38</v>
      </c>
      <c r="G19" s="100"/>
      <c r="H19" s="32" t="s">
        <v>40</v>
      </c>
    </row>
    <row r="20" spans="1:8" ht="25.5" customHeight="1">
      <c r="A20" s="109" t="s">
        <v>41</v>
      </c>
      <c r="B20" s="109"/>
      <c r="C20" s="65">
        <f>C8*12*G15</f>
        <v>731565.1919999999</v>
      </c>
      <c r="D20" s="126"/>
      <c r="E20" s="13">
        <f>(C9*1.3*6)+(C9*1.37*6)</f>
        <v>24592.302</v>
      </c>
      <c r="F20" s="65">
        <f>SUM(F23:H34)</f>
        <v>679178.1200000001</v>
      </c>
      <c r="G20" s="126"/>
      <c r="H20" s="57">
        <f>(F23+F24+F25+F26+F27+F28+F29+F30+F31)*100/(C25+C23+C24+C26+C27+C28+C29+C30+C31)</f>
        <v>88.36020960822042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110" t="s">
        <v>174</v>
      </c>
      <c r="D22" s="110"/>
      <c r="E22" s="110"/>
      <c r="F22" s="123" t="s">
        <v>42</v>
      </c>
      <c r="G22" s="123"/>
      <c r="H22" s="123"/>
      <c r="I22" s="13" t="s">
        <v>40</v>
      </c>
    </row>
    <row r="23" spans="1:9" ht="12.75">
      <c r="A23" s="110" t="s">
        <v>43</v>
      </c>
      <c r="B23" s="110"/>
      <c r="C23" s="123">
        <f>(C20+E20)/12</f>
        <v>63013.1245</v>
      </c>
      <c r="D23" s="123"/>
      <c r="E23" s="123"/>
      <c r="F23" s="123">
        <v>68561.97</v>
      </c>
      <c r="G23" s="123"/>
      <c r="H23" s="123"/>
      <c r="I23" s="35">
        <f>F23*100%/C23</f>
        <v>1.088058567862319</v>
      </c>
    </row>
    <row r="24" spans="1:9" ht="12.75">
      <c r="A24" s="110" t="s">
        <v>44</v>
      </c>
      <c r="B24" s="110"/>
      <c r="C24" s="123">
        <f>(C20+E20)/12</f>
        <v>63013.1245</v>
      </c>
      <c r="D24" s="123"/>
      <c r="E24" s="123"/>
      <c r="F24" s="123">
        <v>49233.2</v>
      </c>
      <c r="G24" s="123"/>
      <c r="H24" s="123"/>
      <c r="I24" s="35">
        <f aca="true" t="shared" si="0" ref="I24:I34">F24*100%/C24</f>
        <v>0.781316596989251</v>
      </c>
    </row>
    <row r="25" spans="1:9" ht="12.75">
      <c r="A25" s="110" t="s">
        <v>45</v>
      </c>
      <c r="B25" s="110"/>
      <c r="C25" s="123">
        <f>(C20+E20)/12</f>
        <v>63013.1245</v>
      </c>
      <c r="D25" s="123"/>
      <c r="E25" s="123"/>
      <c r="F25" s="123">
        <v>50191.92</v>
      </c>
      <c r="G25" s="123"/>
      <c r="H25" s="123"/>
      <c r="I25" s="35">
        <f t="shared" si="0"/>
        <v>0.7965312051777403</v>
      </c>
    </row>
    <row r="26" spans="1:9" ht="12.75">
      <c r="A26" s="110" t="s">
        <v>46</v>
      </c>
      <c r="B26" s="110"/>
      <c r="C26" s="123">
        <f>(C20+E20)/12</f>
        <v>63013.1245</v>
      </c>
      <c r="D26" s="123"/>
      <c r="E26" s="123"/>
      <c r="F26" s="123">
        <v>57734.36</v>
      </c>
      <c r="G26" s="123"/>
      <c r="H26" s="123"/>
      <c r="I26" s="35">
        <f t="shared" si="0"/>
        <v>0.9162275392327197</v>
      </c>
    </row>
    <row r="27" spans="1:9" ht="12.75">
      <c r="A27" s="110" t="s">
        <v>47</v>
      </c>
      <c r="B27" s="110"/>
      <c r="C27" s="123">
        <f>(C20+E20)/12</f>
        <v>63013.1245</v>
      </c>
      <c r="D27" s="123"/>
      <c r="E27" s="123"/>
      <c r="F27" s="123">
        <v>58546.51</v>
      </c>
      <c r="G27" s="123"/>
      <c r="H27" s="123"/>
      <c r="I27" s="35">
        <f t="shared" si="0"/>
        <v>0.9291161240544421</v>
      </c>
    </row>
    <row r="28" spans="1:9" ht="12.75">
      <c r="A28" s="110" t="s">
        <v>48</v>
      </c>
      <c r="B28" s="110"/>
      <c r="C28" s="123">
        <f>(C20+E20)/12</f>
        <v>63013.1245</v>
      </c>
      <c r="D28" s="123"/>
      <c r="E28" s="123"/>
      <c r="F28" s="123">
        <v>56292.3</v>
      </c>
      <c r="G28" s="123"/>
      <c r="H28" s="123"/>
      <c r="I28" s="35">
        <f t="shared" si="0"/>
        <v>0.8933424655049442</v>
      </c>
    </row>
    <row r="29" spans="1:9" ht="12.75">
      <c r="A29" s="110" t="s">
        <v>49</v>
      </c>
      <c r="B29" s="110"/>
      <c r="C29" s="123">
        <f>(C20+E20)/12</f>
        <v>63013.1245</v>
      </c>
      <c r="D29" s="123"/>
      <c r="E29" s="123"/>
      <c r="F29" s="123">
        <v>42586.61</v>
      </c>
      <c r="G29" s="123"/>
      <c r="H29" s="123"/>
      <c r="I29" s="35">
        <f t="shared" si="0"/>
        <v>0.6758371424670427</v>
      </c>
    </row>
    <row r="30" spans="1:9" ht="12.75">
      <c r="A30" s="110" t="s">
        <v>50</v>
      </c>
      <c r="B30" s="110"/>
      <c r="C30" s="123">
        <f>(C20+E20)/12</f>
        <v>63013.1245</v>
      </c>
      <c r="D30" s="123"/>
      <c r="E30" s="123"/>
      <c r="F30" s="123">
        <v>60307.33</v>
      </c>
      <c r="G30" s="123"/>
      <c r="H30" s="123"/>
      <c r="I30" s="35">
        <f t="shared" si="0"/>
        <v>0.9570598264810691</v>
      </c>
    </row>
    <row r="31" spans="1:9" ht="12.75">
      <c r="A31" s="110" t="s">
        <v>51</v>
      </c>
      <c r="B31" s="110"/>
      <c r="C31" s="123">
        <f>(C20+E20)/12</f>
        <v>63013.1245</v>
      </c>
      <c r="D31" s="123"/>
      <c r="E31" s="123"/>
      <c r="F31" s="123">
        <v>57652.56</v>
      </c>
      <c r="G31" s="123"/>
      <c r="H31" s="123"/>
      <c r="I31" s="35">
        <f t="shared" si="0"/>
        <v>0.914929396970309</v>
      </c>
    </row>
    <row r="32" spans="1:9" ht="12.75">
      <c r="A32" s="110" t="s">
        <v>52</v>
      </c>
      <c r="B32" s="110"/>
      <c r="C32" s="123">
        <f>(C20+E20)/12</f>
        <v>63013.1245</v>
      </c>
      <c r="D32" s="123"/>
      <c r="E32" s="123"/>
      <c r="F32" s="123">
        <v>49743.02</v>
      </c>
      <c r="G32" s="123"/>
      <c r="H32" s="123"/>
      <c r="I32" s="35">
        <f t="shared" si="0"/>
        <v>0.7894072924442906</v>
      </c>
    </row>
    <row r="33" spans="1:9" ht="12.75">
      <c r="A33" s="110" t="s">
        <v>53</v>
      </c>
      <c r="B33" s="110"/>
      <c r="C33" s="123">
        <f>(C20+E20)/12</f>
        <v>63013.1245</v>
      </c>
      <c r="D33" s="123"/>
      <c r="E33" s="123"/>
      <c r="F33" s="123">
        <v>68820.82</v>
      </c>
      <c r="G33" s="123"/>
      <c r="H33" s="123"/>
      <c r="I33" s="35">
        <f t="shared" si="0"/>
        <v>1.092166442246488</v>
      </c>
    </row>
    <row r="34" spans="1:9" ht="12.75">
      <c r="A34" s="110" t="s">
        <v>54</v>
      </c>
      <c r="B34" s="110"/>
      <c r="C34" s="123">
        <f>(C20+E20)/12</f>
        <v>63013.1245</v>
      </c>
      <c r="D34" s="123"/>
      <c r="E34" s="123"/>
      <c r="F34" s="123">
        <v>59507.52</v>
      </c>
      <c r="G34" s="123"/>
      <c r="H34" s="123"/>
      <c r="I34" s="35">
        <f t="shared" si="0"/>
        <v>0.9443670738783949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124" t="s">
        <v>55</v>
      </c>
      <c r="B36" s="124"/>
      <c r="C36" s="124"/>
      <c r="D36" s="125" t="s">
        <v>175</v>
      </c>
      <c r="E36" s="125"/>
      <c r="F36" s="125"/>
      <c r="G36" s="125"/>
      <c r="H36" s="125"/>
      <c r="I36" s="125"/>
      <c r="J36" s="125"/>
    </row>
    <row r="37" spans="6:10" ht="12.75">
      <c r="F37" s="120" t="s">
        <v>56</v>
      </c>
      <c r="G37" s="120"/>
      <c r="H37" s="120"/>
      <c r="I37" s="120"/>
      <c r="J37" s="120"/>
    </row>
    <row r="38" spans="1:11" ht="36" customHeight="1">
      <c r="A38" s="121" t="s">
        <v>57</v>
      </c>
      <c r="B38" s="121"/>
      <c r="C38" s="121"/>
      <c r="D38" s="121"/>
      <c r="E38" s="121" t="s">
        <v>176</v>
      </c>
      <c r="F38" s="110" t="s">
        <v>58</v>
      </c>
      <c r="G38" s="110"/>
      <c r="H38" s="122" t="s">
        <v>59</v>
      </c>
      <c r="I38" s="110" t="s">
        <v>60</v>
      </c>
      <c r="J38" s="110" t="s">
        <v>61</v>
      </c>
      <c r="K38" s="18"/>
    </row>
    <row r="39" spans="1:11" ht="51" customHeight="1">
      <c r="A39" s="121"/>
      <c r="B39" s="121"/>
      <c r="C39" s="121"/>
      <c r="D39" s="121"/>
      <c r="E39" s="121"/>
      <c r="F39" s="16" t="s">
        <v>62</v>
      </c>
      <c r="G39" s="11" t="s">
        <v>63</v>
      </c>
      <c r="H39" s="122"/>
      <c r="I39" s="110"/>
      <c r="J39" s="110"/>
      <c r="K39" s="18"/>
    </row>
    <row r="40" spans="1:10" s="21" customFormat="1" ht="12.75">
      <c r="A40" s="116" t="s">
        <v>38</v>
      </c>
      <c r="B40" s="116"/>
      <c r="C40" s="116"/>
      <c r="D40" s="116"/>
      <c r="E40" s="12"/>
      <c r="F40" s="19"/>
      <c r="G40" s="12"/>
      <c r="H40" s="34"/>
      <c r="I40" s="6"/>
      <c r="J40" s="20"/>
    </row>
    <row r="41" spans="1:10" s="21" customFormat="1" ht="12.75">
      <c r="A41" s="116" t="s">
        <v>64</v>
      </c>
      <c r="B41" s="116"/>
      <c r="C41" s="116"/>
      <c r="D41" s="116"/>
      <c r="E41" s="12"/>
      <c r="F41" s="19"/>
      <c r="G41" s="12"/>
      <c r="H41" s="24"/>
      <c r="I41" s="6"/>
      <c r="J41" s="20"/>
    </row>
    <row r="42" spans="1:11" s="21" customFormat="1" ht="12.75">
      <c r="A42" s="109" t="s">
        <v>65</v>
      </c>
      <c r="B42" s="109"/>
      <c r="C42" s="109"/>
      <c r="D42" s="109"/>
      <c r="E42" s="12" t="s">
        <v>66</v>
      </c>
      <c r="F42" s="19">
        <f>C13</f>
        <v>385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849.722775</v>
      </c>
      <c r="K42" s="23"/>
    </row>
    <row r="43" spans="1:11" s="21" customFormat="1" ht="28.5" customHeight="1">
      <c r="A43" s="109" t="s">
        <v>67</v>
      </c>
      <c r="B43" s="109"/>
      <c r="C43" s="109"/>
      <c r="D43" s="109"/>
      <c r="E43" s="12" t="s">
        <v>66</v>
      </c>
      <c r="F43" s="19">
        <f>G8*4</f>
        <v>421.2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619.7458577142858</v>
      </c>
      <c r="K43" s="23"/>
    </row>
    <row r="44" spans="1:11" s="21" customFormat="1" ht="26.25" customHeight="1">
      <c r="A44" s="109" t="s">
        <v>177</v>
      </c>
      <c r="B44" s="109"/>
      <c r="C44" s="109"/>
      <c r="D44" s="109"/>
      <c r="E44" s="12" t="s">
        <v>66</v>
      </c>
      <c r="F44" s="19">
        <f>F3*2.5+F42</f>
        <v>387.5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1140.3206071428572</v>
      </c>
      <c r="K44" s="23"/>
    </row>
    <row r="45" spans="1:11" s="21" customFormat="1" ht="12.75" customHeight="1">
      <c r="A45" s="109" t="s">
        <v>68</v>
      </c>
      <c r="B45" s="109"/>
      <c r="C45" s="109"/>
      <c r="D45" s="109"/>
      <c r="E45" s="12" t="s">
        <v>66</v>
      </c>
      <c r="F45" s="19">
        <f>F44</f>
        <v>387.5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2850.8015178571427</v>
      </c>
      <c r="K45" s="23"/>
    </row>
    <row r="46" spans="1:11" s="21" customFormat="1" ht="12.75" customHeight="1">
      <c r="A46" s="109" t="s">
        <v>69</v>
      </c>
      <c r="B46" s="109"/>
      <c r="C46" s="109"/>
      <c r="D46" s="109"/>
      <c r="E46" s="12" t="s">
        <v>66</v>
      </c>
      <c r="F46" s="19">
        <f>C11+C12</f>
        <v>302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444.3571914285714</v>
      </c>
      <c r="K46" s="23"/>
    </row>
    <row r="47" spans="1:11" s="21" customFormat="1" ht="26.25" customHeight="1">
      <c r="A47" s="109" t="s">
        <v>70</v>
      </c>
      <c r="B47" s="109"/>
      <c r="C47" s="109"/>
      <c r="D47" s="109"/>
      <c r="E47" s="12" t="s">
        <v>66</v>
      </c>
      <c r="F47" s="19">
        <f>C8</f>
        <v>2324.2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6839.5694325714285</v>
      </c>
      <c r="K47" s="23"/>
    </row>
    <row r="48" spans="1:11" s="21" customFormat="1" ht="12.75" customHeight="1">
      <c r="A48" s="119" t="s">
        <v>71</v>
      </c>
      <c r="B48" s="119"/>
      <c r="C48" s="119"/>
      <c r="D48" s="119"/>
      <c r="E48" s="12"/>
      <c r="F48" s="19"/>
      <c r="G48" s="6"/>
      <c r="H48" s="24"/>
      <c r="I48" s="22">
        <f t="shared" si="2"/>
        <v>61.30755952380952</v>
      </c>
      <c r="J48" s="20">
        <f>SUM(J42:J47)</f>
        <v>12744.517381714286</v>
      </c>
      <c r="K48" s="23"/>
    </row>
    <row r="49" spans="1:11" s="21" customFormat="1" ht="12.75" customHeight="1">
      <c r="A49" s="116" t="s">
        <v>72</v>
      </c>
      <c r="B49" s="116"/>
      <c r="C49" s="116"/>
      <c r="D49" s="116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109" t="s">
        <v>73</v>
      </c>
      <c r="B50" s="109"/>
      <c r="C50" s="109"/>
      <c r="D50" s="109"/>
      <c r="E50" s="12" t="s">
        <v>74</v>
      </c>
      <c r="F50" s="24">
        <f>C9/1000</f>
        <v>1.5351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941.13234625</v>
      </c>
      <c r="K50" s="23"/>
    </row>
    <row r="51" spans="1:11" s="21" customFormat="1" ht="26.25" customHeight="1">
      <c r="A51" s="109" t="s">
        <v>75</v>
      </c>
      <c r="B51" s="109"/>
      <c r="C51" s="109"/>
      <c r="D51" s="109"/>
      <c r="E51" s="12" t="s">
        <v>178</v>
      </c>
      <c r="F51" s="24">
        <f>(C11+C12)/1000</f>
        <v>0.302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370.2976595238095</v>
      </c>
      <c r="K51" s="23"/>
    </row>
    <row r="52" spans="1:11" s="21" customFormat="1" ht="26.25" customHeight="1">
      <c r="A52" s="109" t="s">
        <v>76</v>
      </c>
      <c r="B52" s="109"/>
      <c r="C52" s="109"/>
      <c r="D52" s="109"/>
      <c r="E52" s="12" t="s">
        <v>77</v>
      </c>
      <c r="F52" s="24">
        <f>F2*F3/100</f>
        <v>0.09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99.31824642857143</v>
      </c>
      <c r="K52" s="23"/>
    </row>
    <row r="53" spans="1:11" s="21" customFormat="1" ht="26.25" customHeight="1">
      <c r="A53" s="109" t="s">
        <v>78</v>
      </c>
      <c r="B53" s="109"/>
      <c r="C53" s="109"/>
      <c r="D53" s="109"/>
      <c r="E53" s="12" t="s">
        <v>79</v>
      </c>
      <c r="F53" s="19">
        <f>F3</f>
        <v>1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61.30755952380952</v>
      </c>
      <c r="K53" s="23"/>
    </row>
    <row r="54" spans="1:11" s="21" customFormat="1" ht="39.75" customHeight="1">
      <c r="A54" s="109" t="s">
        <v>80</v>
      </c>
      <c r="B54" s="109"/>
      <c r="C54" s="109"/>
      <c r="D54" s="109"/>
      <c r="E54" s="12" t="s">
        <v>81</v>
      </c>
      <c r="F54" s="24">
        <f>J3/100</f>
        <v>0.802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69.81950108809524</v>
      </c>
      <c r="K54" s="23"/>
    </row>
    <row r="55" spans="1:11" s="21" customFormat="1" ht="26.25" customHeight="1">
      <c r="A55" s="109" t="s">
        <v>82</v>
      </c>
      <c r="B55" s="109"/>
      <c r="C55" s="109"/>
      <c r="D55" s="109"/>
      <c r="E55" s="12" t="s">
        <v>81</v>
      </c>
      <c r="F55" s="48">
        <f>J3/100</f>
        <v>0.802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69.81950108809524</v>
      </c>
      <c r="K55" s="23"/>
    </row>
    <row r="56" spans="1:11" s="21" customFormat="1" ht="26.25" customHeight="1">
      <c r="A56" s="109" t="s">
        <v>83</v>
      </c>
      <c r="B56" s="109"/>
      <c r="C56" s="109"/>
      <c r="D56" s="109"/>
      <c r="E56" s="12" t="s">
        <v>81</v>
      </c>
      <c r="F56" s="48">
        <f>J3/100</f>
        <v>0.802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304.8457089761905</v>
      </c>
      <c r="K56" s="23"/>
    </row>
    <row r="57" spans="1:11" s="21" customFormat="1" ht="26.25" customHeight="1">
      <c r="A57" s="109" t="s">
        <v>84</v>
      </c>
      <c r="B57" s="109"/>
      <c r="C57" s="109"/>
      <c r="D57" s="109"/>
      <c r="E57" s="12" t="s">
        <v>85</v>
      </c>
      <c r="F57" s="48">
        <f>J3/100</f>
        <v>0.802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324.5131740714285</v>
      </c>
      <c r="K57" s="23"/>
    </row>
    <row r="58" spans="1:11" s="21" customFormat="1" ht="26.25" customHeight="1">
      <c r="A58" s="109" t="s">
        <v>86</v>
      </c>
      <c r="B58" s="109"/>
      <c r="C58" s="109"/>
      <c r="D58" s="109"/>
      <c r="E58" s="12" t="s">
        <v>178</v>
      </c>
      <c r="F58" s="48">
        <f>(C8-C9)/1000</f>
        <v>0.7890999999999999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193.51118088095237</v>
      </c>
      <c r="K58" s="23"/>
    </row>
    <row r="59" spans="1:11" s="21" customFormat="1" ht="41.25" customHeight="1">
      <c r="A59" s="118" t="s">
        <v>87</v>
      </c>
      <c r="B59" s="118"/>
      <c r="C59" s="118"/>
      <c r="D59" s="118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109" t="s">
        <v>89</v>
      </c>
      <c r="B60" s="109"/>
      <c r="C60" s="109"/>
      <c r="D60" s="109"/>
      <c r="E60" s="12" t="s">
        <v>85</v>
      </c>
      <c r="F60" s="24">
        <f>J3/100</f>
        <v>0.802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162.25658703571426</v>
      </c>
      <c r="K60" s="23"/>
    </row>
    <row r="61" spans="1:11" s="21" customFormat="1" ht="26.25" customHeight="1">
      <c r="A61" s="109" t="s">
        <v>90</v>
      </c>
      <c r="B61" s="109"/>
      <c r="C61" s="109"/>
      <c r="D61" s="109"/>
      <c r="E61" s="12" t="s">
        <v>91</v>
      </c>
      <c r="F61" s="19">
        <f>F3</f>
        <v>1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34.332233333333335</v>
      </c>
      <c r="K61" s="23"/>
    </row>
    <row r="62" spans="1:11" s="21" customFormat="1" ht="50.25" customHeight="1">
      <c r="A62" s="109" t="s">
        <v>179</v>
      </c>
      <c r="B62" s="109"/>
      <c r="C62" s="109"/>
      <c r="D62" s="109"/>
      <c r="E62" s="12" t="s">
        <v>74</v>
      </c>
      <c r="F62" s="24">
        <f>C9/1000</f>
        <v>1.5351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941.13234625</v>
      </c>
      <c r="K62" s="23"/>
    </row>
    <row r="63" spans="1:11" s="21" customFormat="1" ht="12.75" customHeight="1">
      <c r="A63" s="109" t="s">
        <v>71</v>
      </c>
      <c r="B63" s="109"/>
      <c r="C63" s="109"/>
      <c r="D63" s="109"/>
      <c r="E63" s="12"/>
      <c r="F63" s="19"/>
      <c r="G63" s="6"/>
      <c r="H63" s="24"/>
      <c r="I63" s="6"/>
      <c r="J63" s="20">
        <f>SUM(J50:J62)</f>
        <v>19280.202407842855</v>
      </c>
      <c r="K63" s="23"/>
    </row>
    <row r="64" spans="1:11" s="21" customFormat="1" ht="12.75" customHeight="1">
      <c r="A64" s="116" t="s">
        <v>92</v>
      </c>
      <c r="B64" s="116"/>
      <c r="C64" s="116"/>
      <c r="D64" s="116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109" t="s">
        <v>235</v>
      </c>
      <c r="B65" s="109"/>
      <c r="C65" s="109"/>
      <c r="D65" s="109"/>
      <c r="E65" s="12" t="s">
        <v>66</v>
      </c>
      <c r="F65" s="24">
        <f>G8/F2*3</f>
        <v>35.099999999999994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5059.4352203571425</v>
      </c>
      <c r="K65" s="23"/>
    </row>
    <row r="66" spans="1:11" s="21" customFormat="1" ht="39" customHeight="1">
      <c r="A66" s="113" t="s">
        <v>236</v>
      </c>
      <c r="B66" s="114"/>
      <c r="C66" s="114"/>
      <c r="D66" s="115"/>
      <c r="E66" s="12" t="s">
        <v>66</v>
      </c>
      <c r="F66" s="24">
        <f>G8/F2*(F2-3)</f>
        <v>70.19999999999999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2527.236236571428</v>
      </c>
      <c r="K66" s="23"/>
    </row>
    <row r="67" spans="1:11" s="21" customFormat="1" ht="26.25" customHeight="1">
      <c r="A67" s="113" t="s">
        <v>237</v>
      </c>
      <c r="B67" s="114"/>
      <c r="C67" s="114"/>
      <c r="D67" s="115"/>
      <c r="E67" s="12" t="s">
        <v>66</v>
      </c>
      <c r="F67" s="24">
        <f>G8/F2*3</f>
        <v>35.099999999999994</v>
      </c>
      <c r="G67" s="6">
        <v>12</v>
      </c>
      <c r="H67" s="24">
        <f>1.07/60</f>
        <v>0.017833333333333333</v>
      </c>
      <c r="I67" s="24">
        <f t="shared" si="5"/>
        <v>29.252857142857142</v>
      </c>
      <c r="J67" s="20">
        <f t="shared" si="4"/>
        <v>219.7299111428571</v>
      </c>
      <c r="K67" s="23"/>
    </row>
    <row r="68" spans="1:11" s="21" customFormat="1" ht="26.25" customHeight="1">
      <c r="A68" s="109" t="s">
        <v>238</v>
      </c>
      <c r="B68" s="109"/>
      <c r="C68" s="109"/>
      <c r="D68" s="109"/>
      <c r="E68" s="12" t="s">
        <v>66</v>
      </c>
      <c r="F68" s="24">
        <f>G8/F2*(F2-3)</f>
        <v>70.19999999999999</v>
      </c>
      <c r="G68" s="6">
        <v>12</v>
      </c>
      <c r="H68" s="24">
        <f>0.82/60</f>
        <v>0.013666666666666666</v>
      </c>
      <c r="I68" s="24">
        <f t="shared" si="5"/>
        <v>29.252857142857142</v>
      </c>
      <c r="J68" s="20">
        <f t="shared" si="4"/>
        <v>336.78229371428563</v>
      </c>
      <c r="K68" s="23"/>
    </row>
    <row r="69" spans="1:11" s="21" customFormat="1" ht="12.75" customHeight="1">
      <c r="A69" s="109" t="s">
        <v>93</v>
      </c>
      <c r="B69" s="109"/>
      <c r="C69" s="109"/>
      <c r="D69" s="109"/>
      <c r="E69" s="12" t="s">
        <v>66</v>
      </c>
      <c r="F69" s="19">
        <f>F2*F3*1.5*2</f>
        <v>27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100.04477142857141</v>
      </c>
      <c r="K69" s="23"/>
    </row>
    <row r="70" spans="1:10" s="21" customFormat="1" ht="12.75" customHeight="1">
      <c r="A70" s="117" t="s">
        <v>94</v>
      </c>
      <c r="B70" s="117"/>
      <c r="C70" s="117"/>
      <c r="D70" s="117"/>
      <c r="E70" s="26" t="s">
        <v>66</v>
      </c>
      <c r="F70" s="27">
        <f>G9</f>
        <v>961.4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853.0854713333333</v>
      </c>
    </row>
    <row r="71" spans="1:11" s="21" customFormat="1" ht="26.25" customHeight="1">
      <c r="A71" s="109" t="s">
        <v>95</v>
      </c>
      <c r="B71" s="109"/>
      <c r="C71" s="109"/>
      <c r="D71" s="109"/>
      <c r="E71" s="12" t="s">
        <v>66</v>
      </c>
      <c r="F71" s="19">
        <f>G10</f>
        <v>276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1714.33444</v>
      </c>
      <c r="K71" s="23"/>
    </row>
    <row r="72" spans="1:11" s="21" customFormat="1" ht="12.75" customHeight="1">
      <c r="A72" s="109" t="s">
        <v>96</v>
      </c>
      <c r="B72" s="109"/>
      <c r="C72" s="109"/>
      <c r="D72" s="109"/>
      <c r="E72" s="12" t="s">
        <v>66</v>
      </c>
      <c r="F72" s="19">
        <f>G10</f>
        <v>276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1591.8819799999999</v>
      </c>
      <c r="K72" s="23"/>
    </row>
    <row r="73" spans="1:11" s="21" customFormat="1" ht="26.25" customHeight="1">
      <c r="A73" s="109" t="s">
        <v>125</v>
      </c>
      <c r="B73" s="109"/>
      <c r="C73" s="109"/>
      <c r="D73" s="109"/>
      <c r="E73" s="12" t="s">
        <v>66</v>
      </c>
      <c r="F73" s="19">
        <f>G10</f>
        <v>276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3929.2437714285716</v>
      </c>
      <c r="K73" s="23"/>
    </row>
    <row r="74" spans="1:11" s="21" customFormat="1" ht="12.75" customHeight="1">
      <c r="A74" s="109" t="s">
        <v>97</v>
      </c>
      <c r="B74" s="109"/>
      <c r="C74" s="109"/>
      <c r="D74" s="109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109" t="s">
        <v>98</v>
      </c>
      <c r="B75" s="109"/>
      <c r="C75" s="109"/>
      <c r="D75" s="109"/>
      <c r="E75" s="12" t="s">
        <v>99</v>
      </c>
      <c r="F75" s="19">
        <f>F3</f>
        <v>1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416.4144214285714</v>
      </c>
      <c r="K75" s="23"/>
    </row>
    <row r="76" spans="1:11" s="21" customFormat="1" ht="12.75" customHeight="1">
      <c r="A76" s="109" t="s">
        <v>100</v>
      </c>
      <c r="B76" s="109"/>
      <c r="C76" s="109"/>
      <c r="D76" s="109"/>
      <c r="E76" s="12" t="s">
        <v>66</v>
      </c>
      <c r="F76" s="19">
        <f>G12</f>
        <v>1800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12298.4862</v>
      </c>
      <c r="K76" s="23"/>
    </row>
    <row r="77" spans="1:11" s="21" customFormat="1" ht="12.75" customHeight="1">
      <c r="A77" s="109" t="s">
        <v>71</v>
      </c>
      <c r="B77" s="109"/>
      <c r="C77" s="109"/>
      <c r="D77" s="109"/>
      <c r="E77" s="12"/>
      <c r="F77" s="19"/>
      <c r="G77" s="6"/>
      <c r="H77" s="24"/>
      <c r="I77" s="24">
        <f t="shared" si="5"/>
        <v>29.252857142857142</v>
      </c>
      <c r="J77" s="20">
        <f>SUM(J65:J76)</f>
        <v>31644.815979309522</v>
      </c>
      <c r="K77" s="23"/>
    </row>
    <row r="78" spans="1:11" s="21" customFormat="1" ht="12.75">
      <c r="A78" s="116" t="s">
        <v>101</v>
      </c>
      <c r="B78" s="116"/>
      <c r="C78" s="116"/>
      <c r="D78" s="116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109" t="s">
        <v>102</v>
      </c>
      <c r="B79" s="109"/>
      <c r="C79" s="109"/>
      <c r="D79" s="109"/>
      <c r="E79" s="110"/>
      <c r="F79" s="110"/>
      <c r="G79" s="110"/>
      <c r="H79" s="110"/>
      <c r="I79" s="6"/>
      <c r="J79" s="20">
        <f>300079.59/216035.97*C8</f>
        <v>3228.3743446889885</v>
      </c>
      <c r="K79" s="23"/>
    </row>
    <row r="80" spans="1:11" s="21" customFormat="1" ht="12.75">
      <c r="A80" s="109" t="s">
        <v>103</v>
      </c>
      <c r="B80" s="109"/>
      <c r="C80" s="109"/>
      <c r="D80" s="109"/>
      <c r="E80" s="110"/>
      <c r="F80" s="110"/>
      <c r="G80" s="110"/>
      <c r="H80" s="110"/>
      <c r="I80" s="6"/>
      <c r="J80" s="20">
        <f>99563.03/216035.97*C8</f>
        <v>1071.138266122998</v>
      </c>
      <c r="K80" s="23"/>
    </row>
    <row r="81" spans="1:11" s="21" customFormat="1" ht="12.75">
      <c r="A81" s="113" t="s">
        <v>119</v>
      </c>
      <c r="B81" s="114"/>
      <c r="C81" s="114"/>
      <c r="D81" s="115"/>
      <c r="E81" s="111"/>
      <c r="F81" s="112"/>
      <c r="G81" s="112"/>
      <c r="H81" s="100"/>
      <c r="I81" s="37"/>
      <c r="J81" s="20">
        <f>5366787.25/216035.97*C8</f>
        <v>57738.009677045906</v>
      </c>
      <c r="K81" s="23"/>
    </row>
    <row r="82" spans="1:11" s="21" customFormat="1" ht="12.75">
      <c r="A82" s="109" t="s">
        <v>104</v>
      </c>
      <c r="B82" s="109"/>
      <c r="C82" s="109"/>
      <c r="D82" s="109"/>
      <c r="E82" s="110" t="s">
        <v>105</v>
      </c>
      <c r="F82" s="110"/>
      <c r="G82" s="110"/>
      <c r="H82" s="110"/>
      <c r="I82" s="6"/>
      <c r="J82" s="36">
        <f>1478082.24/216035.97*C8</f>
        <v>15901.790531493434</v>
      </c>
      <c r="K82" s="23"/>
    </row>
    <row r="83" spans="1:11" s="21" customFormat="1" ht="12.75">
      <c r="A83" s="109" t="s">
        <v>106</v>
      </c>
      <c r="B83" s="109"/>
      <c r="C83" s="109"/>
      <c r="D83" s="109"/>
      <c r="E83" s="110" t="s">
        <v>105</v>
      </c>
      <c r="F83" s="110"/>
      <c r="G83" s="110"/>
      <c r="H83" s="110"/>
      <c r="I83" s="6"/>
      <c r="J83" s="20">
        <f>3148900/216035.97*C8</f>
        <v>33877.1056505081</v>
      </c>
      <c r="K83" s="23"/>
    </row>
    <row r="84" spans="1:11" s="21" customFormat="1" ht="12.75">
      <c r="A84" s="109" t="s">
        <v>107</v>
      </c>
      <c r="B84" s="109"/>
      <c r="C84" s="109"/>
      <c r="D84" s="109"/>
      <c r="E84" s="110" t="s">
        <v>108</v>
      </c>
      <c r="F84" s="110"/>
      <c r="G84" s="110"/>
      <c r="H84" s="110"/>
      <c r="I84" s="6"/>
      <c r="J84" s="20">
        <f>(111173.4)/216035.97*C8</f>
        <v>1196.047196584902</v>
      </c>
      <c r="K84" s="23"/>
    </row>
    <row r="85" spans="1:11" s="21" customFormat="1" ht="12.75">
      <c r="A85" s="109" t="s">
        <v>180</v>
      </c>
      <c r="B85" s="109"/>
      <c r="C85" s="109"/>
      <c r="D85" s="109"/>
      <c r="E85" s="110" t="s">
        <v>109</v>
      </c>
      <c r="F85" s="110"/>
      <c r="G85" s="110"/>
      <c r="H85" s="110"/>
      <c r="I85" s="6"/>
      <c r="J85" s="20">
        <f>198400.51/216035.97*C8</f>
        <v>2134.4707797595</v>
      </c>
      <c r="K85" s="23"/>
    </row>
    <row r="86" spans="1:11" s="21" customFormat="1" ht="12.75">
      <c r="A86" s="109" t="s">
        <v>110</v>
      </c>
      <c r="B86" s="109"/>
      <c r="C86" s="109"/>
      <c r="D86" s="109"/>
      <c r="E86" s="110" t="s">
        <v>105</v>
      </c>
      <c r="F86" s="110"/>
      <c r="G86" s="110"/>
      <c r="H86" s="110"/>
      <c r="I86" s="6"/>
      <c r="J86" s="49">
        <f>6255875.28/216035.97*C8</f>
        <v>67303.16866110767</v>
      </c>
      <c r="K86" s="23"/>
    </row>
    <row r="87" spans="1:11" s="21" customFormat="1" ht="12.75">
      <c r="A87" s="113" t="s">
        <v>182</v>
      </c>
      <c r="B87" s="114"/>
      <c r="C87" s="114"/>
      <c r="D87" s="115"/>
      <c r="E87" s="111"/>
      <c r="F87" s="112"/>
      <c r="G87" s="112"/>
      <c r="H87" s="100"/>
      <c r="I87" s="6"/>
      <c r="J87" s="36">
        <v>1164.11</v>
      </c>
      <c r="K87" s="23"/>
    </row>
    <row r="88" spans="1:11" s="21" customFormat="1" ht="12.75">
      <c r="A88" s="113" t="s">
        <v>183</v>
      </c>
      <c r="B88" s="114"/>
      <c r="C88" s="114"/>
      <c r="D88" s="115"/>
      <c r="E88" s="111"/>
      <c r="F88" s="112"/>
      <c r="G88" s="112"/>
      <c r="H88" s="100"/>
      <c r="I88" s="6"/>
      <c r="J88" s="36">
        <f>3729.16</f>
        <v>3729.16</v>
      </c>
      <c r="K88" s="23"/>
    </row>
    <row r="89" spans="1:11" s="21" customFormat="1" ht="12.75">
      <c r="A89" s="109" t="s">
        <v>111</v>
      </c>
      <c r="B89" s="109"/>
      <c r="C89" s="109"/>
      <c r="D89" s="109"/>
      <c r="E89" s="110" t="s">
        <v>105</v>
      </c>
      <c r="F89" s="110"/>
      <c r="G89" s="110"/>
      <c r="H89" s="110"/>
      <c r="I89" s="6"/>
      <c r="J89" s="49">
        <f>574141.03/216035.97*C8</f>
        <v>6176.835190574977</v>
      </c>
      <c r="K89" s="23"/>
    </row>
    <row r="90" spans="1:11" s="21" customFormat="1" ht="12.75">
      <c r="A90" s="109" t="s">
        <v>112</v>
      </c>
      <c r="B90" s="109"/>
      <c r="C90" s="109"/>
      <c r="D90" s="109"/>
      <c r="E90" s="110"/>
      <c r="F90" s="110"/>
      <c r="G90" s="110"/>
      <c r="H90" s="110"/>
      <c r="I90" s="6"/>
      <c r="J90" s="49">
        <f>7623081.82/216035.97*C8</f>
        <v>82012.11476979504</v>
      </c>
      <c r="K90" s="23"/>
    </row>
    <row r="91" spans="1:11" s="21" customFormat="1" ht="12.75">
      <c r="A91" s="109" t="s">
        <v>113</v>
      </c>
      <c r="B91" s="109"/>
      <c r="C91" s="109"/>
      <c r="D91" s="109"/>
      <c r="E91" s="11"/>
      <c r="F91" s="11"/>
      <c r="G91" s="11"/>
      <c r="H91" s="32"/>
      <c r="I91" s="11"/>
      <c r="J91" s="36">
        <f>5899496.16/216035.97*C8</f>
        <v>63469.101812406516</v>
      </c>
      <c r="K91" s="23"/>
    </row>
    <row r="92" spans="1:11" s="21" customFormat="1" ht="12.75">
      <c r="A92" s="109" t="s">
        <v>71</v>
      </c>
      <c r="B92" s="109"/>
      <c r="C92" s="109"/>
      <c r="D92" s="109"/>
      <c r="E92" s="12"/>
      <c r="F92" s="12"/>
      <c r="G92" s="12"/>
      <c r="H92" s="34"/>
      <c r="I92" s="6"/>
      <c r="J92" s="20">
        <f>SUM(J79:J91)</f>
        <v>339001.426880088</v>
      </c>
      <c r="K92" s="23"/>
    </row>
    <row r="93" spans="1:11" s="21" customFormat="1" ht="12.75" customHeight="1">
      <c r="A93" s="109" t="s">
        <v>114</v>
      </c>
      <c r="B93" s="109"/>
      <c r="C93" s="109"/>
      <c r="D93" s="109"/>
      <c r="E93" s="12"/>
      <c r="F93" s="19"/>
      <c r="G93" s="12"/>
      <c r="H93" s="34"/>
      <c r="I93" s="6"/>
      <c r="J93" s="20">
        <f>J48+J63+J77+J92</f>
        <v>402670.96264895465</v>
      </c>
      <c r="K93" s="23"/>
    </row>
    <row r="94" spans="1:11" ht="12.75">
      <c r="A94" s="102" t="s">
        <v>115</v>
      </c>
      <c r="B94" s="102"/>
      <c r="C94" s="102"/>
      <c r="D94" s="102"/>
      <c r="E94" s="102"/>
      <c r="F94" s="102"/>
      <c r="G94" s="102"/>
      <c r="H94" s="102"/>
      <c r="I94" s="102"/>
      <c r="J94" s="28">
        <f>J93*0.05</f>
        <v>20133.548132447733</v>
      </c>
      <c r="K94" s="23"/>
    </row>
    <row r="95" spans="1:11" ht="12.75">
      <c r="A95" s="102" t="s">
        <v>116</v>
      </c>
      <c r="B95" s="102"/>
      <c r="C95" s="102"/>
      <c r="D95" s="102"/>
      <c r="E95" s="102"/>
      <c r="F95" s="102"/>
      <c r="G95" s="102"/>
      <c r="H95" s="102"/>
      <c r="I95" s="102"/>
      <c r="J95" s="13">
        <f>J93+J94</f>
        <v>422804.5107814024</v>
      </c>
      <c r="K95" s="23"/>
    </row>
    <row r="96" spans="1:11" ht="12.75">
      <c r="A96" s="102" t="s">
        <v>117</v>
      </c>
      <c r="B96" s="102"/>
      <c r="C96" s="102"/>
      <c r="D96" s="102"/>
      <c r="E96" s="102"/>
      <c r="F96" s="102"/>
      <c r="G96" s="102"/>
      <c r="H96" s="102"/>
      <c r="I96" s="102"/>
      <c r="J96" s="28">
        <f>J95*0.18</f>
        <v>76104.81194065243</v>
      </c>
      <c r="K96" s="23"/>
    </row>
    <row r="97" spans="1:11" ht="12.75">
      <c r="A97" s="102" t="s">
        <v>118</v>
      </c>
      <c r="B97" s="102"/>
      <c r="C97" s="102"/>
      <c r="D97" s="102"/>
      <c r="E97" s="102"/>
      <c r="F97" s="102"/>
      <c r="G97" s="102"/>
      <c r="H97" s="102"/>
      <c r="I97" s="102"/>
      <c r="J97" s="29">
        <f>J96+J95</f>
        <v>498909.32272205484</v>
      </c>
      <c r="K97" s="30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9"/>
      <c r="K98" s="30"/>
    </row>
    <row r="99" spans="1:11" ht="15">
      <c r="A99" s="42" t="s">
        <v>126</v>
      </c>
      <c r="B99" s="40"/>
      <c r="C99" s="40"/>
      <c r="D99" s="40"/>
      <c r="E99" s="40"/>
      <c r="F99" s="40"/>
      <c r="G99" s="40"/>
      <c r="H99" s="41"/>
      <c r="I99" s="38"/>
      <c r="J99" s="39"/>
      <c r="K99" s="30"/>
    </row>
    <row r="100" spans="1:11" ht="39" customHeight="1">
      <c r="A100" s="104" t="s">
        <v>186</v>
      </c>
      <c r="B100" s="105"/>
      <c r="C100" s="104" t="s">
        <v>187</v>
      </c>
      <c r="D100" s="105"/>
      <c r="E100" s="104" t="s">
        <v>127</v>
      </c>
      <c r="F100" s="105"/>
      <c r="G100" s="104" t="s">
        <v>128</v>
      </c>
      <c r="H100" s="105"/>
      <c r="I100" s="38"/>
      <c r="J100" s="39"/>
      <c r="K100" s="30"/>
    </row>
    <row r="101" spans="1:11" ht="12.75">
      <c r="A101" s="108">
        <f>13255.7+15087.61+20104.77+24110.62+23710.83</f>
        <v>96269.53</v>
      </c>
      <c r="B101" s="76"/>
      <c r="C101" s="65">
        <f>2624.7+2624.7+2624.7+2661.49+2661.49+2661.49+2804.83+2804.83+2804.83+2804.83+2804.83+2804.83</f>
        <v>32687.55000000001</v>
      </c>
      <c r="D101" s="66"/>
      <c r="E101" s="67"/>
      <c r="F101" s="66"/>
      <c r="G101" s="67">
        <f>C101+A101</f>
        <v>128957.08000000002</v>
      </c>
      <c r="H101" s="68"/>
      <c r="I101" s="38"/>
      <c r="J101" s="39"/>
      <c r="K101" s="30"/>
    </row>
    <row r="102" spans="1:1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9"/>
      <c r="K102" s="30"/>
    </row>
    <row r="103" spans="1:11" ht="15">
      <c r="A103" s="42" t="s">
        <v>129</v>
      </c>
      <c r="B103" s="43"/>
      <c r="C103" s="43"/>
      <c r="D103" s="40"/>
      <c r="E103" s="40"/>
      <c r="F103" s="40"/>
      <c r="G103" s="40"/>
      <c r="H103" s="41"/>
      <c r="I103" s="38"/>
      <c r="J103" s="39"/>
      <c r="K103" s="30"/>
    </row>
    <row r="104" spans="1:11" ht="27" customHeight="1">
      <c r="A104" s="104" t="s">
        <v>130</v>
      </c>
      <c r="B104" s="105"/>
      <c r="C104" s="104" t="s">
        <v>131</v>
      </c>
      <c r="D104" s="105"/>
      <c r="E104" s="106" t="s">
        <v>132</v>
      </c>
      <c r="F104" s="106"/>
      <c r="G104" s="107"/>
      <c r="H104" s="107"/>
      <c r="I104" s="38"/>
      <c r="J104" s="39"/>
      <c r="K104" s="30"/>
    </row>
    <row r="105" spans="1:11" ht="27" customHeight="1">
      <c r="A105" s="96"/>
      <c r="B105" s="97"/>
      <c r="C105" s="99"/>
      <c r="D105" s="100"/>
      <c r="E105" s="101"/>
      <c r="F105" s="102"/>
      <c r="G105" s="103"/>
      <c r="H105" s="103"/>
      <c r="I105" s="38"/>
      <c r="J105" s="39"/>
      <c r="K105" s="30"/>
    </row>
    <row r="106" spans="1:1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9"/>
      <c r="K106" s="30"/>
    </row>
    <row r="107" spans="1:11" s="64" customFormat="1" ht="12.75">
      <c r="A107" s="95" t="s">
        <v>124</v>
      </c>
      <c r="B107" s="95"/>
      <c r="C107" s="95"/>
      <c r="D107" s="95"/>
      <c r="E107" s="95"/>
      <c r="F107" s="69"/>
      <c r="G107" s="69"/>
      <c r="H107" s="69"/>
      <c r="I107" s="69"/>
      <c r="J107" s="70"/>
      <c r="K107" s="71"/>
    </row>
    <row r="108" spans="1:11" s="64" customFormat="1" ht="12.75">
      <c r="A108" s="95"/>
      <c r="B108" s="95"/>
      <c r="C108" s="95"/>
      <c r="D108" s="95"/>
      <c r="E108" s="95"/>
      <c r="F108" s="69"/>
      <c r="G108" s="69"/>
      <c r="H108" s="69"/>
      <c r="I108" s="69"/>
      <c r="J108" s="70"/>
      <c r="K108" s="71"/>
    </row>
    <row r="109" spans="1:11" s="64" customFormat="1" ht="12.75">
      <c r="A109" s="69"/>
      <c r="B109" s="69"/>
      <c r="C109" s="69"/>
      <c r="D109" s="69"/>
      <c r="E109" s="69"/>
      <c r="F109" s="69"/>
      <c r="G109" s="69"/>
      <c r="H109" s="69"/>
      <c r="I109" s="69"/>
      <c r="J109" s="70"/>
      <c r="K109" s="71"/>
    </row>
    <row r="110" spans="1:9" s="64" customFormat="1" ht="12.75">
      <c r="A110" s="98" t="s">
        <v>57</v>
      </c>
      <c r="B110" s="98"/>
      <c r="C110" s="98"/>
      <c r="D110" s="98"/>
      <c r="E110" s="72" t="s">
        <v>120</v>
      </c>
      <c r="F110" s="72" t="s">
        <v>121</v>
      </c>
      <c r="G110" s="72" t="s">
        <v>122</v>
      </c>
      <c r="H110" s="50" t="s">
        <v>123</v>
      </c>
      <c r="I110" s="63"/>
    </row>
    <row r="111" spans="1:9" s="64" customFormat="1" ht="12.75">
      <c r="A111" s="60" t="s">
        <v>145</v>
      </c>
      <c r="B111" s="61"/>
      <c r="C111" s="61"/>
      <c r="D111" s="61"/>
      <c r="E111" s="62"/>
      <c r="F111" s="62"/>
      <c r="G111" s="62"/>
      <c r="H111" s="58"/>
      <c r="I111" s="63"/>
    </row>
    <row r="112" spans="1:9" s="64" customFormat="1" ht="12.75">
      <c r="A112" s="73" t="s">
        <v>188</v>
      </c>
      <c r="B112" s="61"/>
      <c r="C112" s="61"/>
      <c r="D112" s="61"/>
      <c r="E112" s="73" t="s">
        <v>146</v>
      </c>
      <c r="F112" s="74">
        <v>13</v>
      </c>
      <c r="G112" s="74">
        <v>1678.88</v>
      </c>
      <c r="H112" s="59">
        <f>G112*F112</f>
        <v>21825.440000000002</v>
      </c>
      <c r="I112" s="63"/>
    </row>
    <row r="113" spans="1:9" s="64" customFormat="1" ht="12.75">
      <c r="A113" s="92" t="s">
        <v>147</v>
      </c>
      <c r="B113" s="93"/>
      <c r="C113" s="93"/>
      <c r="D113" s="93"/>
      <c r="E113" s="93"/>
      <c r="F113" s="93"/>
      <c r="G113" s="94"/>
      <c r="H113" s="50">
        <f>SUM(H112)</f>
        <v>21825.440000000002</v>
      </c>
      <c r="I113" s="63"/>
    </row>
    <row r="114" spans="1:9" s="64" customFormat="1" ht="12.75">
      <c r="A114" s="60" t="s">
        <v>148</v>
      </c>
      <c r="B114" s="61"/>
      <c r="C114" s="61"/>
      <c r="D114" s="61"/>
      <c r="E114" s="62"/>
      <c r="F114" s="62"/>
      <c r="G114" s="62"/>
      <c r="H114" s="58"/>
      <c r="I114" s="63"/>
    </row>
    <row r="115" spans="1:10" s="64" customFormat="1" ht="12.75">
      <c r="A115" s="92" t="s">
        <v>149</v>
      </c>
      <c r="B115" s="93"/>
      <c r="C115" s="93"/>
      <c r="D115" s="93"/>
      <c r="E115" s="93"/>
      <c r="F115" s="93"/>
      <c r="G115" s="94"/>
      <c r="H115" s="50">
        <v>0</v>
      </c>
      <c r="I115" s="79"/>
      <c r="J115" s="71"/>
    </row>
    <row r="116" spans="1:9" s="64" customFormat="1" ht="12.75">
      <c r="A116" s="60" t="s">
        <v>150</v>
      </c>
      <c r="B116" s="61"/>
      <c r="C116" s="61"/>
      <c r="D116" s="61"/>
      <c r="E116" s="62"/>
      <c r="F116" s="62"/>
      <c r="G116" s="62"/>
      <c r="H116" s="58"/>
      <c r="I116" s="63"/>
    </row>
    <row r="117" spans="1:9" s="64" customFormat="1" ht="12.75">
      <c r="A117" s="92" t="s">
        <v>151</v>
      </c>
      <c r="B117" s="93"/>
      <c r="C117" s="93"/>
      <c r="D117" s="93"/>
      <c r="E117" s="93"/>
      <c r="F117" s="93"/>
      <c r="G117" s="94"/>
      <c r="H117" s="50">
        <v>0</v>
      </c>
      <c r="I117" s="79"/>
    </row>
    <row r="118" spans="1:9" s="64" customFormat="1" ht="12.75">
      <c r="A118" s="60" t="s">
        <v>152</v>
      </c>
      <c r="B118" s="61"/>
      <c r="C118" s="61"/>
      <c r="D118" s="61"/>
      <c r="E118" s="62"/>
      <c r="F118" s="62"/>
      <c r="G118" s="62"/>
      <c r="H118" s="58"/>
      <c r="I118" s="63"/>
    </row>
    <row r="119" spans="1:9" s="64" customFormat="1" ht="12.75">
      <c r="A119" s="73" t="s">
        <v>189</v>
      </c>
      <c r="B119" s="61"/>
      <c r="C119" s="61"/>
      <c r="D119" s="61"/>
      <c r="E119" s="73" t="s">
        <v>146</v>
      </c>
      <c r="F119" s="80">
        <v>10</v>
      </c>
      <c r="G119" s="80">
        <v>276.41</v>
      </c>
      <c r="H119" s="59">
        <f aca="true" t="shared" si="6" ref="H119:H124">G119*F119</f>
        <v>2764.1000000000004</v>
      </c>
      <c r="I119" s="63"/>
    </row>
    <row r="120" spans="1:9" s="64" customFormat="1" ht="12.75">
      <c r="A120" s="73" t="s">
        <v>190</v>
      </c>
      <c r="B120" s="61"/>
      <c r="C120" s="61"/>
      <c r="D120" s="61"/>
      <c r="E120" s="73" t="s">
        <v>146</v>
      </c>
      <c r="F120" s="80">
        <v>5</v>
      </c>
      <c r="G120" s="80">
        <v>134.05</v>
      </c>
      <c r="H120" s="59">
        <f t="shared" si="6"/>
        <v>670.25</v>
      </c>
      <c r="I120" s="63"/>
    </row>
    <row r="121" spans="1:9" s="64" customFormat="1" ht="12.75">
      <c r="A121" s="73" t="s">
        <v>190</v>
      </c>
      <c r="B121" s="61"/>
      <c r="C121" s="61"/>
      <c r="D121" s="61"/>
      <c r="E121" s="73" t="s">
        <v>146</v>
      </c>
      <c r="F121" s="80">
        <v>10</v>
      </c>
      <c r="G121" s="80">
        <v>143.64</v>
      </c>
      <c r="H121" s="59">
        <f t="shared" si="6"/>
        <v>1436.3999999999999</v>
      </c>
      <c r="I121" s="63"/>
    </row>
    <row r="122" spans="1:9" s="64" customFormat="1" ht="12.75">
      <c r="A122" s="73" t="s">
        <v>191</v>
      </c>
      <c r="B122" s="61"/>
      <c r="C122" s="61"/>
      <c r="D122" s="61"/>
      <c r="E122" s="73" t="s">
        <v>146</v>
      </c>
      <c r="F122" s="80">
        <v>2</v>
      </c>
      <c r="G122" s="80">
        <v>121.97</v>
      </c>
      <c r="H122" s="59">
        <f t="shared" si="6"/>
        <v>243.94</v>
      </c>
      <c r="I122" s="63"/>
    </row>
    <row r="123" spans="1:9" s="64" customFormat="1" ht="12.75">
      <c r="A123" s="73" t="s">
        <v>191</v>
      </c>
      <c r="B123" s="61"/>
      <c r="C123" s="61"/>
      <c r="D123" s="61"/>
      <c r="E123" s="73" t="s">
        <v>146</v>
      </c>
      <c r="F123" s="80">
        <v>5</v>
      </c>
      <c r="G123" s="80">
        <v>73.42</v>
      </c>
      <c r="H123" s="59">
        <f t="shared" si="6"/>
        <v>367.1</v>
      </c>
      <c r="I123" s="63"/>
    </row>
    <row r="124" spans="1:9" s="64" customFormat="1" ht="12.75">
      <c r="A124" s="73" t="s">
        <v>192</v>
      </c>
      <c r="B124" s="61"/>
      <c r="C124" s="61"/>
      <c r="D124" s="61"/>
      <c r="E124" s="73" t="s">
        <v>66</v>
      </c>
      <c r="F124" s="74">
        <v>15.5</v>
      </c>
      <c r="G124" s="74">
        <v>271.19</v>
      </c>
      <c r="H124" s="59">
        <f t="shared" si="6"/>
        <v>4203.445</v>
      </c>
      <c r="I124" s="63"/>
    </row>
    <row r="125" spans="1:9" s="64" customFormat="1" ht="12.75">
      <c r="A125" s="92" t="s">
        <v>153</v>
      </c>
      <c r="B125" s="93"/>
      <c r="C125" s="93"/>
      <c r="D125" s="93"/>
      <c r="E125" s="93"/>
      <c r="F125" s="93"/>
      <c r="G125" s="94"/>
      <c r="H125" s="50">
        <f>SUM(H119:H124)</f>
        <v>9685.235</v>
      </c>
      <c r="I125" s="79"/>
    </row>
    <row r="126" spans="1:9" s="64" customFormat="1" ht="12.75">
      <c r="A126" s="60" t="s">
        <v>154</v>
      </c>
      <c r="B126" s="61"/>
      <c r="C126" s="61"/>
      <c r="D126" s="61"/>
      <c r="E126" s="62"/>
      <c r="F126" s="62"/>
      <c r="G126" s="62"/>
      <c r="H126" s="59" t="s">
        <v>155</v>
      </c>
      <c r="I126" s="63"/>
    </row>
    <row r="127" spans="1:9" s="64" customFormat="1" ht="12.75">
      <c r="A127" s="73" t="s">
        <v>193</v>
      </c>
      <c r="B127" s="61"/>
      <c r="C127" s="61"/>
      <c r="D127" s="61"/>
      <c r="E127" s="73" t="s">
        <v>184</v>
      </c>
      <c r="F127" s="74">
        <v>4.8</v>
      </c>
      <c r="G127" s="74">
        <v>105.6</v>
      </c>
      <c r="H127" s="59">
        <f>G127*F127</f>
        <v>506.87999999999994</v>
      </c>
      <c r="I127" s="63"/>
    </row>
    <row r="128" spans="1:9" s="64" customFormat="1" ht="12.75">
      <c r="A128" s="92" t="s">
        <v>156</v>
      </c>
      <c r="B128" s="93"/>
      <c r="C128" s="93"/>
      <c r="D128" s="93"/>
      <c r="E128" s="93"/>
      <c r="F128" s="93"/>
      <c r="G128" s="94"/>
      <c r="H128" s="50">
        <f>SUM(H127)</f>
        <v>506.87999999999994</v>
      </c>
      <c r="I128" s="63"/>
    </row>
    <row r="129" spans="1:9" s="64" customFormat="1" ht="12.75">
      <c r="A129" s="60" t="s">
        <v>157</v>
      </c>
      <c r="B129" s="61"/>
      <c r="C129" s="61"/>
      <c r="D129" s="61"/>
      <c r="E129" s="62"/>
      <c r="F129" s="62"/>
      <c r="G129" s="62"/>
      <c r="H129" s="59" t="s">
        <v>155</v>
      </c>
      <c r="I129" s="63"/>
    </row>
    <row r="130" spans="1:9" s="64" customFormat="1" ht="12.75">
      <c r="A130" s="81" t="s">
        <v>194</v>
      </c>
      <c r="B130" s="61"/>
      <c r="C130" s="61"/>
      <c r="D130" s="61"/>
      <c r="E130" s="82" t="s">
        <v>200</v>
      </c>
      <c r="F130" s="83">
        <v>1</v>
      </c>
      <c r="G130" s="83">
        <v>87.92</v>
      </c>
      <c r="H130" s="59">
        <f aca="true" t="shared" si="7" ref="H130:H137">G130*F130</f>
        <v>87.92</v>
      </c>
      <c r="I130" s="63"/>
    </row>
    <row r="131" spans="1:9" s="64" customFormat="1" ht="12.75">
      <c r="A131" s="81" t="s">
        <v>195</v>
      </c>
      <c r="B131" s="61"/>
      <c r="C131" s="61"/>
      <c r="D131" s="61"/>
      <c r="E131" s="82" t="s">
        <v>146</v>
      </c>
      <c r="F131" s="83">
        <v>1</v>
      </c>
      <c r="G131" s="83">
        <v>14</v>
      </c>
      <c r="H131" s="59">
        <f t="shared" si="7"/>
        <v>14</v>
      </c>
      <c r="I131" s="63"/>
    </row>
    <row r="132" spans="1:9" s="64" customFormat="1" ht="12.75">
      <c r="A132" s="81" t="s">
        <v>196</v>
      </c>
      <c r="B132" s="61"/>
      <c r="C132" s="61"/>
      <c r="D132" s="61"/>
      <c r="E132" s="82" t="s">
        <v>200</v>
      </c>
      <c r="F132" s="83">
        <v>1</v>
      </c>
      <c r="G132" s="83">
        <v>161.59</v>
      </c>
      <c r="H132" s="59">
        <f t="shared" si="7"/>
        <v>161.59</v>
      </c>
      <c r="I132" s="63"/>
    </row>
    <row r="133" spans="1:9" s="64" customFormat="1" ht="12.75">
      <c r="A133" s="81" t="s">
        <v>197</v>
      </c>
      <c r="B133" s="61"/>
      <c r="C133" s="61"/>
      <c r="D133" s="61"/>
      <c r="E133" s="82" t="s">
        <v>146</v>
      </c>
      <c r="F133" s="83">
        <v>1</v>
      </c>
      <c r="G133" s="83">
        <v>83.74</v>
      </c>
      <c r="H133" s="59">
        <f t="shared" si="7"/>
        <v>83.74</v>
      </c>
      <c r="I133" s="63"/>
    </row>
    <row r="134" spans="1:9" s="64" customFormat="1" ht="12.75">
      <c r="A134" s="81" t="s">
        <v>198</v>
      </c>
      <c r="B134" s="61"/>
      <c r="C134" s="61"/>
      <c r="D134" s="61"/>
      <c r="E134" s="82" t="s">
        <v>146</v>
      </c>
      <c r="F134" s="83">
        <v>1</v>
      </c>
      <c r="G134" s="83">
        <v>69.28</v>
      </c>
      <c r="H134" s="59">
        <f t="shared" si="7"/>
        <v>69.28</v>
      </c>
      <c r="I134" s="63"/>
    </row>
    <row r="135" spans="1:9" s="64" customFormat="1" ht="12.75">
      <c r="A135" s="81" t="s">
        <v>199</v>
      </c>
      <c r="B135" s="61"/>
      <c r="C135" s="61"/>
      <c r="D135" s="61"/>
      <c r="E135" s="82" t="s">
        <v>146</v>
      </c>
      <c r="F135" s="83">
        <v>1</v>
      </c>
      <c r="G135" s="83">
        <v>21</v>
      </c>
      <c r="H135" s="59">
        <f t="shared" si="7"/>
        <v>21</v>
      </c>
      <c r="I135" s="63"/>
    </row>
    <row r="136" spans="1:9" s="64" customFormat="1" ht="12.75">
      <c r="A136" s="73" t="s">
        <v>201</v>
      </c>
      <c r="B136" s="61"/>
      <c r="C136" s="61"/>
      <c r="D136" s="61"/>
      <c r="E136" s="73" t="s">
        <v>200</v>
      </c>
      <c r="F136" s="74">
        <v>69</v>
      </c>
      <c r="G136" s="74">
        <v>85.93</v>
      </c>
      <c r="H136" s="59">
        <f t="shared" si="7"/>
        <v>5929.17</v>
      </c>
      <c r="I136" s="63"/>
    </row>
    <row r="137" spans="1:9" s="64" customFormat="1" ht="12.75">
      <c r="A137" s="73" t="s">
        <v>202</v>
      </c>
      <c r="B137" s="61"/>
      <c r="C137" s="61"/>
      <c r="D137" s="61"/>
      <c r="E137" s="73" t="s">
        <v>200</v>
      </c>
      <c r="F137" s="74">
        <v>57.35</v>
      </c>
      <c r="G137" s="74">
        <v>50.26</v>
      </c>
      <c r="H137" s="59">
        <f t="shared" si="7"/>
        <v>2882.411</v>
      </c>
      <c r="I137" s="63"/>
    </row>
    <row r="138" spans="1:9" s="64" customFormat="1" ht="12.75">
      <c r="A138" s="92" t="s">
        <v>158</v>
      </c>
      <c r="B138" s="93"/>
      <c r="C138" s="93"/>
      <c r="D138" s="93"/>
      <c r="E138" s="93"/>
      <c r="F138" s="93"/>
      <c r="G138" s="94"/>
      <c r="H138" s="50">
        <f>SUM(H130:H137)</f>
        <v>9249.111</v>
      </c>
      <c r="I138" s="63"/>
    </row>
    <row r="139" spans="1:9" s="64" customFormat="1" ht="12.75">
      <c r="A139" s="60" t="s">
        <v>159</v>
      </c>
      <c r="B139" s="61"/>
      <c r="C139" s="61"/>
      <c r="D139" s="61"/>
      <c r="E139" s="62"/>
      <c r="F139" s="62"/>
      <c r="G139" s="62"/>
      <c r="H139" s="59"/>
      <c r="I139" s="63"/>
    </row>
    <row r="140" spans="1:9" s="64" customFormat="1" ht="12.75">
      <c r="A140" s="92" t="s">
        <v>160</v>
      </c>
      <c r="B140" s="93"/>
      <c r="C140" s="93"/>
      <c r="D140" s="93"/>
      <c r="E140" s="93"/>
      <c r="F140" s="93"/>
      <c r="G140" s="94"/>
      <c r="H140" s="50">
        <v>0</v>
      </c>
      <c r="I140" s="63"/>
    </row>
    <row r="141" spans="1:9" s="64" customFormat="1" ht="12.75">
      <c r="A141" s="60" t="s">
        <v>161</v>
      </c>
      <c r="B141" s="61"/>
      <c r="C141" s="61"/>
      <c r="D141" s="61"/>
      <c r="E141" s="62"/>
      <c r="F141" s="62"/>
      <c r="G141" s="62"/>
      <c r="H141" s="59"/>
      <c r="I141" s="63"/>
    </row>
    <row r="142" spans="1:9" s="64" customFormat="1" ht="12.75">
      <c r="A142" s="73" t="s">
        <v>203</v>
      </c>
      <c r="B142" s="61"/>
      <c r="C142" s="61"/>
      <c r="D142" s="61"/>
      <c r="E142" s="73" t="s">
        <v>146</v>
      </c>
      <c r="F142" s="80">
        <v>1</v>
      </c>
      <c r="G142" s="80">
        <v>39.04</v>
      </c>
      <c r="H142" s="59">
        <f>G142*F142</f>
        <v>39.04</v>
      </c>
      <c r="I142" s="63"/>
    </row>
    <row r="143" spans="1:9" s="64" customFormat="1" ht="12.75">
      <c r="A143" s="73" t="s">
        <v>204</v>
      </c>
      <c r="B143" s="61"/>
      <c r="C143" s="61"/>
      <c r="D143" s="61"/>
      <c r="E143" s="73" t="s">
        <v>205</v>
      </c>
      <c r="F143" s="80">
        <v>10</v>
      </c>
      <c r="G143" s="80">
        <v>2250</v>
      </c>
      <c r="H143" s="59">
        <f>G143*F143</f>
        <v>22500</v>
      </c>
      <c r="I143" s="63"/>
    </row>
    <row r="144" spans="1:9" s="64" customFormat="1" ht="12.75">
      <c r="A144" s="73" t="s">
        <v>206</v>
      </c>
      <c r="B144" s="61"/>
      <c r="C144" s="61"/>
      <c r="D144" s="61"/>
      <c r="E144" s="73" t="s">
        <v>146</v>
      </c>
      <c r="F144" s="80">
        <v>1</v>
      </c>
      <c r="G144" s="80">
        <v>450</v>
      </c>
      <c r="H144" s="59">
        <f>G144*F144</f>
        <v>450</v>
      </c>
      <c r="I144" s="63"/>
    </row>
    <row r="145" spans="1:9" s="64" customFormat="1" ht="25.5">
      <c r="A145" s="73" t="s">
        <v>207</v>
      </c>
      <c r="B145" s="61"/>
      <c r="C145" s="61"/>
      <c r="D145" s="61"/>
      <c r="E145" s="73" t="s">
        <v>146</v>
      </c>
      <c r="F145" s="80">
        <v>2</v>
      </c>
      <c r="G145" s="80">
        <v>135</v>
      </c>
      <c r="H145" s="59">
        <f aca="true" t="shared" si="8" ref="H145:H165">G145*F145</f>
        <v>270</v>
      </c>
      <c r="I145" s="63"/>
    </row>
    <row r="146" spans="1:9" s="64" customFormat="1" ht="12.75">
      <c r="A146" s="73" t="s">
        <v>208</v>
      </c>
      <c r="B146" s="61"/>
      <c r="C146" s="61"/>
      <c r="D146" s="61"/>
      <c r="E146" s="73" t="s">
        <v>146</v>
      </c>
      <c r="F146" s="80">
        <v>2</v>
      </c>
      <c r="G146" s="80">
        <v>47</v>
      </c>
      <c r="H146" s="59">
        <f t="shared" si="8"/>
        <v>94</v>
      </c>
      <c r="I146" s="63"/>
    </row>
    <row r="147" spans="1:9" s="64" customFormat="1" ht="25.5">
      <c r="A147" s="73" t="s">
        <v>209</v>
      </c>
      <c r="B147" s="61"/>
      <c r="C147" s="61"/>
      <c r="D147" s="61"/>
      <c r="E147" s="73" t="s">
        <v>146</v>
      </c>
      <c r="F147" s="80">
        <v>2</v>
      </c>
      <c r="G147" s="80">
        <v>135</v>
      </c>
      <c r="H147" s="59">
        <f t="shared" si="8"/>
        <v>270</v>
      </c>
      <c r="I147" s="63"/>
    </row>
    <row r="148" spans="1:9" s="64" customFormat="1" ht="12.75">
      <c r="A148" s="73" t="s">
        <v>210</v>
      </c>
      <c r="B148" s="61"/>
      <c r="C148" s="61"/>
      <c r="D148" s="61"/>
      <c r="E148" s="73" t="s">
        <v>146</v>
      </c>
      <c r="F148" s="80">
        <v>1</v>
      </c>
      <c r="G148" s="80">
        <v>330</v>
      </c>
      <c r="H148" s="59">
        <f t="shared" si="8"/>
        <v>330</v>
      </c>
      <c r="I148" s="63"/>
    </row>
    <row r="149" spans="1:9" s="64" customFormat="1" ht="12.75">
      <c r="A149" s="73" t="s">
        <v>211</v>
      </c>
      <c r="B149" s="61"/>
      <c r="C149" s="61"/>
      <c r="D149" s="61"/>
      <c r="E149" s="73" t="s">
        <v>146</v>
      </c>
      <c r="F149" s="80">
        <v>1</v>
      </c>
      <c r="G149" s="80">
        <v>65</v>
      </c>
      <c r="H149" s="59">
        <f t="shared" si="8"/>
        <v>65</v>
      </c>
      <c r="I149" s="63"/>
    </row>
    <row r="150" spans="1:9" s="64" customFormat="1" ht="12.75">
      <c r="A150" s="73" t="s">
        <v>212</v>
      </c>
      <c r="B150" s="61"/>
      <c r="C150" s="61"/>
      <c r="D150" s="61"/>
      <c r="E150" s="73" t="s">
        <v>146</v>
      </c>
      <c r="F150" s="80">
        <v>1</v>
      </c>
      <c r="G150" s="80">
        <v>5</v>
      </c>
      <c r="H150" s="59">
        <f t="shared" si="8"/>
        <v>5</v>
      </c>
      <c r="I150" s="63"/>
    </row>
    <row r="151" spans="1:9" s="64" customFormat="1" ht="12.75">
      <c r="A151" s="73" t="s">
        <v>213</v>
      </c>
      <c r="B151" s="61"/>
      <c r="C151" s="61"/>
      <c r="D151" s="61"/>
      <c r="E151" s="73" t="s">
        <v>200</v>
      </c>
      <c r="F151" s="80">
        <v>4</v>
      </c>
      <c r="G151" s="80">
        <v>141</v>
      </c>
      <c r="H151" s="59">
        <f t="shared" si="8"/>
        <v>564</v>
      </c>
      <c r="I151" s="63"/>
    </row>
    <row r="152" spans="1:9" s="64" customFormat="1" ht="12.75">
      <c r="A152" s="73" t="s">
        <v>214</v>
      </c>
      <c r="B152" s="61"/>
      <c r="C152" s="61"/>
      <c r="D152" s="61"/>
      <c r="E152" s="73" t="s">
        <v>146</v>
      </c>
      <c r="F152" s="80">
        <v>2</v>
      </c>
      <c r="G152" s="80">
        <v>17.34</v>
      </c>
      <c r="H152" s="59">
        <f t="shared" si="8"/>
        <v>34.68</v>
      </c>
      <c r="I152" s="63"/>
    </row>
    <row r="153" spans="1:9" s="64" customFormat="1" ht="12.75">
      <c r="A153" s="73" t="s">
        <v>215</v>
      </c>
      <c r="B153" s="61"/>
      <c r="C153" s="61"/>
      <c r="D153" s="61"/>
      <c r="E153" s="73" t="s">
        <v>146</v>
      </c>
      <c r="F153" s="80">
        <v>6</v>
      </c>
      <c r="G153" s="80">
        <v>8.21</v>
      </c>
      <c r="H153" s="59">
        <f t="shared" si="8"/>
        <v>49.260000000000005</v>
      </c>
      <c r="I153" s="63"/>
    </row>
    <row r="154" spans="1:9" s="64" customFormat="1" ht="12.75">
      <c r="A154" s="73" t="s">
        <v>216</v>
      </c>
      <c r="B154" s="61"/>
      <c r="C154" s="61"/>
      <c r="D154" s="61"/>
      <c r="E154" s="73" t="s">
        <v>146</v>
      </c>
      <c r="F154" s="80">
        <v>4</v>
      </c>
      <c r="G154" s="80">
        <v>27</v>
      </c>
      <c r="H154" s="59">
        <f t="shared" si="8"/>
        <v>108</v>
      </c>
      <c r="I154" s="63"/>
    </row>
    <row r="155" spans="1:9" s="64" customFormat="1" ht="12.75">
      <c r="A155" s="73" t="s">
        <v>217</v>
      </c>
      <c r="B155" s="61"/>
      <c r="C155" s="61"/>
      <c r="D155" s="61"/>
      <c r="E155" s="73" t="s">
        <v>146</v>
      </c>
      <c r="F155" s="80">
        <v>4</v>
      </c>
      <c r="G155" s="80">
        <v>24</v>
      </c>
      <c r="H155" s="59">
        <f t="shared" si="8"/>
        <v>96</v>
      </c>
      <c r="I155" s="63"/>
    </row>
    <row r="156" spans="1:9" s="64" customFormat="1" ht="12.75">
      <c r="A156" s="73" t="s">
        <v>218</v>
      </c>
      <c r="B156" s="61"/>
      <c r="C156" s="61"/>
      <c r="D156" s="61"/>
      <c r="E156" s="73" t="s">
        <v>200</v>
      </c>
      <c r="F156" s="80">
        <v>4</v>
      </c>
      <c r="G156" s="80">
        <v>83.54</v>
      </c>
      <c r="H156" s="59">
        <f t="shared" si="8"/>
        <v>334.16</v>
      </c>
      <c r="I156" s="63"/>
    </row>
    <row r="157" spans="1:9" s="64" customFormat="1" ht="12.75">
      <c r="A157" s="73" t="s">
        <v>219</v>
      </c>
      <c r="B157" s="61"/>
      <c r="C157" s="61"/>
      <c r="D157" s="61"/>
      <c r="E157" s="73" t="s">
        <v>200</v>
      </c>
      <c r="F157" s="80">
        <v>4</v>
      </c>
      <c r="G157" s="80">
        <v>237.11</v>
      </c>
      <c r="H157" s="59">
        <f t="shared" si="8"/>
        <v>948.44</v>
      </c>
      <c r="I157" s="63"/>
    </row>
    <row r="158" spans="1:9" s="64" customFormat="1" ht="12.75">
      <c r="A158" s="73" t="s">
        <v>220</v>
      </c>
      <c r="B158" s="61"/>
      <c r="C158" s="61"/>
      <c r="D158" s="61"/>
      <c r="E158" s="73" t="s">
        <v>146</v>
      </c>
      <c r="F158" s="80">
        <v>1</v>
      </c>
      <c r="G158" s="80">
        <v>62</v>
      </c>
      <c r="H158" s="59">
        <f t="shared" si="8"/>
        <v>62</v>
      </c>
      <c r="I158" s="63"/>
    </row>
    <row r="159" spans="1:9" s="64" customFormat="1" ht="12.75">
      <c r="A159" s="73" t="s">
        <v>221</v>
      </c>
      <c r="B159" s="61"/>
      <c r="C159" s="61"/>
      <c r="D159" s="61"/>
      <c r="E159" s="73" t="s">
        <v>184</v>
      </c>
      <c r="F159" s="74">
        <v>4.8</v>
      </c>
      <c r="G159" s="74">
        <v>105.6</v>
      </c>
      <c r="H159" s="59">
        <f t="shared" si="8"/>
        <v>506.87999999999994</v>
      </c>
      <c r="I159" s="63"/>
    </row>
    <row r="160" spans="1:9" s="64" customFormat="1" ht="12.75">
      <c r="A160" s="73" t="s">
        <v>222</v>
      </c>
      <c r="B160" s="61"/>
      <c r="C160" s="61"/>
      <c r="D160" s="61"/>
      <c r="E160" s="73" t="s">
        <v>184</v>
      </c>
      <c r="F160" s="74">
        <v>2.4</v>
      </c>
      <c r="G160" s="74">
        <v>133.33</v>
      </c>
      <c r="H160" s="59">
        <f t="shared" si="8"/>
        <v>319.992</v>
      </c>
      <c r="I160" s="63"/>
    </row>
    <row r="161" spans="1:9" s="64" customFormat="1" ht="12.75">
      <c r="A161" s="73" t="s">
        <v>221</v>
      </c>
      <c r="B161" s="61"/>
      <c r="C161" s="61"/>
      <c r="D161" s="61"/>
      <c r="E161" s="73" t="s">
        <v>184</v>
      </c>
      <c r="F161" s="74">
        <v>2.4</v>
      </c>
      <c r="G161" s="74">
        <v>105.6</v>
      </c>
      <c r="H161" s="59">
        <f t="shared" si="8"/>
        <v>253.43999999999997</v>
      </c>
      <c r="I161" s="63"/>
    </row>
    <row r="162" spans="1:9" s="64" customFormat="1" ht="12.75">
      <c r="A162" s="73" t="s">
        <v>223</v>
      </c>
      <c r="B162" s="61"/>
      <c r="C162" s="61"/>
      <c r="D162" s="61"/>
      <c r="E162" s="73" t="s">
        <v>200</v>
      </c>
      <c r="F162" s="74">
        <v>10.5</v>
      </c>
      <c r="G162" s="74">
        <v>49.15</v>
      </c>
      <c r="H162" s="59">
        <f t="shared" si="8"/>
        <v>516.0749999999999</v>
      </c>
      <c r="I162" s="63"/>
    </row>
    <row r="163" spans="1:9" s="64" customFormat="1" ht="12.75">
      <c r="A163" s="73" t="s">
        <v>224</v>
      </c>
      <c r="B163" s="61"/>
      <c r="C163" s="61"/>
      <c r="D163" s="61"/>
      <c r="E163" s="73" t="s">
        <v>200</v>
      </c>
      <c r="F163" s="74">
        <v>10.5</v>
      </c>
      <c r="G163" s="74">
        <v>117.99</v>
      </c>
      <c r="H163" s="59">
        <f t="shared" si="8"/>
        <v>1238.895</v>
      </c>
      <c r="I163" s="63"/>
    </row>
    <row r="164" spans="1:9" s="64" customFormat="1" ht="12.75">
      <c r="A164" s="73" t="s">
        <v>225</v>
      </c>
      <c r="B164" s="61"/>
      <c r="C164" s="61"/>
      <c r="D164" s="61"/>
      <c r="E164" s="73" t="s">
        <v>184</v>
      </c>
      <c r="F164" s="74">
        <v>30</v>
      </c>
      <c r="G164" s="74">
        <v>13.43</v>
      </c>
      <c r="H164" s="59">
        <f t="shared" si="8"/>
        <v>402.9</v>
      </c>
      <c r="I164" s="63"/>
    </row>
    <row r="165" spans="1:9" s="64" customFormat="1" ht="12.75">
      <c r="A165" s="73" t="s">
        <v>226</v>
      </c>
      <c r="B165" s="61"/>
      <c r="C165" s="61"/>
      <c r="D165" s="61"/>
      <c r="E165" s="73" t="s">
        <v>184</v>
      </c>
      <c r="F165" s="74">
        <v>100</v>
      </c>
      <c r="G165" s="74">
        <v>9.66</v>
      </c>
      <c r="H165" s="59">
        <f t="shared" si="8"/>
        <v>966</v>
      </c>
      <c r="I165" s="63"/>
    </row>
    <row r="166" spans="1:9" s="64" customFormat="1" ht="12.75">
      <c r="A166" s="92" t="s">
        <v>162</v>
      </c>
      <c r="B166" s="93"/>
      <c r="C166" s="93"/>
      <c r="D166" s="93"/>
      <c r="E166" s="93"/>
      <c r="F166" s="93"/>
      <c r="G166" s="94"/>
      <c r="H166" s="50">
        <f>SUM(H142:H165)</f>
        <v>30423.762</v>
      </c>
      <c r="I166" s="63"/>
    </row>
    <row r="167" spans="1:9" s="64" customFormat="1" ht="12.75">
      <c r="A167" s="60" t="s">
        <v>163</v>
      </c>
      <c r="B167" s="61"/>
      <c r="C167" s="61"/>
      <c r="D167" s="61"/>
      <c r="E167" s="62"/>
      <c r="F167" s="62"/>
      <c r="G167" s="62"/>
      <c r="H167" s="59"/>
      <c r="I167" s="63"/>
    </row>
    <row r="168" spans="1:9" s="64" customFormat="1" ht="12.75">
      <c r="A168" s="84" t="s">
        <v>225</v>
      </c>
      <c r="B168" s="61"/>
      <c r="C168" s="61"/>
      <c r="D168" s="61"/>
      <c r="E168" s="84" t="s">
        <v>184</v>
      </c>
      <c r="F168" s="85">
        <v>90</v>
      </c>
      <c r="G168" s="85">
        <v>13.43</v>
      </c>
      <c r="H168" s="59">
        <f>G168*F168</f>
        <v>1208.7</v>
      </c>
      <c r="I168" s="63"/>
    </row>
    <row r="169" spans="1:9" s="64" customFormat="1" ht="12.75">
      <c r="A169" s="92" t="s">
        <v>164</v>
      </c>
      <c r="B169" s="93"/>
      <c r="C169" s="93"/>
      <c r="D169" s="93"/>
      <c r="E169" s="93"/>
      <c r="F169" s="93"/>
      <c r="G169" s="94"/>
      <c r="H169" s="50">
        <f>SUM(H168)</f>
        <v>1208.7</v>
      </c>
      <c r="I169" s="79"/>
    </row>
    <row r="170" spans="1:9" s="64" customFormat="1" ht="12.75">
      <c r="A170" s="60" t="s">
        <v>165</v>
      </c>
      <c r="B170" s="61"/>
      <c r="C170" s="61"/>
      <c r="D170" s="61"/>
      <c r="E170" s="62"/>
      <c r="F170" s="62"/>
      <c r="G170" s="62"/>
      <c r="H170" s="59"/>
      <c r="I170" s="63"/>
    </row>
    <row r="171" spans="1:9" s="64" customFormat="1" ht="12.75">
      <c r="A171" s="84" t="s">
        <v>227</v>
      </c>
      <c r="B171" s="61"/>
      <c r="C171" s="61"/>
      <c r="D171" s="61"/>
      <c r="E171" s="84" t="s">
        <v>146</v>
      </c>
      <c r="F171" s="85">
        <v>2</v>
      </c>
      <c r="G171" s="85">
        <v>19.87</v>
      </c>
      <c r="H171" s="59">
        <f>G171*F171</f>
        <v>39.74</v>
      </c>
      <c r="I171" s="63"/>
    </row>
    <row r="172" spans="1:9" s="64" customFormat="1" ht="12.75">
      <c r="A172" s="84" t="s">
        <v>228</v>
      </c>
      <c r="B172" s="61"/>
      <c r="C172" s="61"/>
      <c r="D172" s="61"/>
      <c r="E172" s="84" t="s">
        <v>146</v>
      </c>
      <c r="F172" s="85">
        <v>1</v>
      </c>
      <c r="G172" s="85">
        <v>17.64</v>
      </c>
      <c r="H172" s="59">
        <f>G172*F172</f>
        <v>17.64</v>
      </c>
      <c r="I172" s="63"/>
    </row>
    <row r="173" spans="1:9" s="64" customFormat="1" ht="12.75">
      <c r="A173" s="84" t="s">
        <v>229</v>
      </c>
      <c r="B173" s="61"/>
      <c r="C173" s="61"/>
      <c r="D173" s="61"/>
      <c r="E173" s="84" t="s">
        <v>146</v>
      </c>
      <c r="F173" s="85">
        <v>2</v>
      </c>
      <c r="G173" s="85">
        <v>27.32</v>
      </c>
      <c r="H173" s="59">
        <f>G173*F173</f>
        <v>54.64</v>
      </c>
      <c r="I173" s="63"/>
    </row>
    <row r="174" spans="1:9" s="64" customFormat="1" ht="12.75">
      <c r="A174" s="84" t="s">
        <v>228</v>
      </c>
      <c r="B174" s="61"/>
      <c r="C174" s="61"/>
      <c r="D174" s="61"/>
      <c r="E174" s="84" t="s">
        <v>146</v>
      </c>
      <c r="F174" s="85">
        <v>1</v>
      </c>
      <c r="G174" s="85">
        <v>7.2</v>
      </c>
      <c r="H174" s="59">
        <f>G174*F174</f>
        <v>7.2</v>
      </c>
      <c r="I174" s="63"/>
    </row>
    <row r="175" spans="1:9" s="64" customFormat="1" ht="12.75">
      <c r="A175" s="84" t="s">
        <v>230</v>
      </c>
      <c r="B175" s="61"/>
      <c r="C175" s="61"/>
      <c r="D175" s="61"/>
      <c r="E175" s="84" t="s">
        <v>231</v>
      </c>
      <c r="F175" s="85">
        <v>6</v>
      </c>
      <c r="G175" s="85">
        <v>813.68</v>
      </c>
      <c r="H175" s="59">
        <f>G175*F175</f>
        <v>4882.08</v>
      </c>
      <c r="I175" s="63"/>
    </row>
    <row r="176" spans="1:9" s="64" customFormat="1" ht="12.75">
      <c r="A176" s="92" t="s">
        <v>166</v>
      </c>
      <c r="B176" s="93"/>
      <c r="C176" s="93"/>
      <c r="D176" s="93"/>
      <c r="E176" s="93"/>
      <c r="F176" s="93"/>
      <c r="G176" s="94"/>
      <c r="H176" s="50">
        <f>SUM(H171:H175)</f>
        <v>5001.3</v>
      </c>
      <c r="I176" s="63"/>
    </row>
    <row r="177" spans="1:9" s="64" customFormat="1" ht="12.75">
      <c r="A177" s="60" t="s">
        <v>167</v>
      </c>
      <c r="B177" s="61"/>
      <c r="C177" s="61"/>
      <c r="D177" s="61"/>
      <c r="E177" s="62"/>
      <c r="F177" s="62"/>
      <c r="G177" s="62"/>
      <c r="H177" s="59"/>
      <c r="I177" s="63"/>
    </row>
    <row r="178" spans="1:9" s="64" customFormat="1" ht="12.75">
      <c r="A178" s="84" t="s">
        <v>232</v>
      </c>
      <c r="B178" s="61"/>
      <c r="C178" s="61"/>
      <c r="D178" s="61"/>
      <c r="E178" s="84" t="s">
        <v>233</v>
      </c>
      <c r="F178" s="85">
        <v>1</v>
      </c>
      <c r="G178" s="85">
        <v>825.39</v>
      </c>
      <c r="H178" s="59">
        <f>G178*F178</f>
        <v>825.39</v>
      </c>
      <c r="I178" s="63"/>
    </row>
    <row r="179" spans="1:9" s="64" customFormat="1" ht="12.75">
      <c r="A179" s="92" t="s">
        <v>168</v>
      </c>
      <c r="B179" s="93"/>
      <c r="C179" s="93"/>
      <c r="D179" s="93"/>
      <c r="E179" s="93"/>
      <c r="F179" s="93"/>
      <c r="G179" s="94"/>
      <c r="H179" s="50">
        <f>SUM(H178:H178)</f>
        <v>825.39</v>
      </c>
      <c r="I179" s="79"/>
    </row>
    <row r="180" spans="1:9" s="64" customFormat="1" ht="12.75">
      <c r="A180" s="60" t="s">
        <v>169</v>
      </c>
      <c r="B180" s="61"/>
      <c r="C180" s="61"/>
      <c r="D180" s="61"/>
      <c r="E180" s="62"/>
      <c r="F180" s="62"/>
      <c r="G180" s="62"/>
      <c r="H180" s="59"/>
      <c r="I180" s="63"/>
    </row>
    <row r="181" spans="1:9" s="64" customFormat="1" ht="12.75">
      <c r="A181" s="92" t="s">
        <v>170</v>
      </c>
      <c r="B181" s="93"/>
      <c r="C181" s="93"/>
      <c r="D181" s="93"/>
      <c r="E181" s="93"/>
      <c r="F181" s="93"/>
      <c r="G181" s="94"/>
      <c r="H181" s="50">
        <v>0</v>
      </c>
      <c r="I181" s="79"/>
    </row>
    <row r="182" spans="1:9" s="91" customFormat="1" ht="12.75">
      <c r="A182" s="86" t="s">
        <v>181</v>
      </c>
      <c r="B182" s="87"/>
      <c r="C182" s="87"/>
      <c r="D182" s="87"/>
      <c r="E182" s="88"/>
      <c r="F182" s="88"/>
      <c r="G182" s="88"/>
      <c r="H182" s="89">
        <v>19520.97</v>
      </c>
      <c r="I182" s="90"/>
    </row>
    <row r="183" spans="1:10" s="64" customFormat="1" ht="12.75">
      <c r="A183" s="75" t="s">
        <v>171</v>
      </c>
      <c r="B183" s="77"/>
      <c r="C183" s="77"/>
      <c r="D183" s="77"/>
      <c r="E183" s="77"/>
      <c r="F183" s="77"/>
      <c r="G183" s="78"/>
      <c r="H183" s="50">
        <f>H182+H179+H176+H166+H138+H128+H113+H125</f>
        <v>97038.088</v>
      </c>
      <c r="I183" s="63"/>
      <c r="J183" s="71"/>
    </row>
    <row r="184" spans="8:9" s="64" customFormat="1" ht="12.75">
      <c r="H184" s="71"/>
      <c r="I184" s="63"/>
    </row>
  </sheetData>
  <sheetProtection/>
  <mergeCells count="180">
    <mergeCell ref="A67:D67"/>
    <mergeCell ref="A66:D66"/>
    <mergeCell ref="A1:G1"/>
    <mergeCell ref="G3:G5"/>
    <mergeCell ref="H3:H5"/>
    <mergeCell ref="I4:J5"/>
    <mergeCell ref="A10:B10"/>
    <mergeCell ref="D10:F10"/>
    <mergeCell ref="I10:J12"/>
    <mergeCell ref="K10:K12"/>
    <mergeCell ref="D11:F11"/>
    <mergeCell ref="A12:B12"/>
    <mergeCell ref="D12:F12"/>
    <mergeCell ref="K7:K8"/>
    <mergeCell ref="A8:B8"/>
    <mergeCell ref="D8:F8"/>
    <mergeCell ref="A9:B9"/>
    <mergeCell ref="D9:F9"/>
    <mergeCell ref="A7:B7"/>
    <mergeCell ref="D7:F7"/>
    <mergeCell ref="I7:J8"/>
    <mergeCell ref="A13:B13"/>
    <mergeCell ref="D13:F13"/>
    <mergeCell ref="A11:B11"/>
    <mergeCell ref="K14:K15"/>
    <mergeCell ref="I15:J15"/>
    <mergeCell ref="D14:F14"/>
    <mergeCell ref="A18:B19"/>
    <mergeCell ref="C18:E18"/>
    <mergeCell ref="F18:H18"/>
    <mergeCell ref="C19:D19"/>
    <mergeCell ref="F19:G19"/>
    <mergeCell ref="A24:B24"/>
    <mergeCell ref="C24:E24"/>
    <mergeCell ref="F24:H24"/>
    <mergeCell ref="A23:B23"/>
    <mergeCell ref="C23:E23"/>
    <mergeCell ref="F23:H23"/>
    <mergeCell ref="A20:B20"/>
    <mergeCell ref="C20:D20"/>
    <mergeCell ref="F20:G20"/>
    <mergeCell ref="C22:E22"/>
    <mergeCell ref="F22:H22"/>
    <mergeCell ref="A25:B25"/>
    <mergeCell ref="C25:E25"/>
    <mergeCell ref="F25:H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F34:H34"/>
    <mergeCell ref="A30:B30"/>
    <mergeCell ref="C30:E30"/>
    <mergeCell ref="F30:H30"/>
    <mergeCell ref="A31:B31"/>
    <mergeCell ref="A33:B33"/>
    <mergeCell ref="C33:E33"/>
    <mergeCell ref="F33:H33"/>
    <mergeCell ref="A29:B29"/>
    <mergeCell ref="C29:E29"/>
    <mergeCell ref="F29:H29"/>
    <mergeCell ref="C31:E31"/>
    <mergeCell ref="F31:H31"/>
    <mergeCell ref="H38:H39"/>
    <mergeCell ref="I38:I39"/>
    <mergeCell ref="J38:J39"/>
    <mergeCell ref="A32:B32"/>
    <mergeCell ref="C32:E32"/>
    <mergeCell ref="F32:H32"/>
    <mergeCell ref="A36:C36"/>
    <mergeCell ref="D36:J36"/>
    <mergeCell ref="A34:B34"/>
    <mergeCell ref="C34:E34"/>
    <mergeCell ref="F37:J37"/>
    <mergeCell ref="A44:D44"/>
    <mergeCell ref="A45:D45"/>
    <mergeCell ref="A38:D39"/>
    <mergeCell ref="E38:E39"/>
    <mergeCell ref="A40:D40"/>
    <mergeCell ref="A41:D41"/>
    <mergeCell ref="A42:D42"/>
    <mergeCell ref="A43:D43"/>
    <mergeCell ref="F38:G38"/>
    <mergeCell ref="A56:D56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69:D69"/>
    <mergeCell ref="A58:D58"/>
    <mergeCell ref="A59:D59"/>
    <mergeCell ref="A60:D60"/>
    <mergeCell ref="A61:D61"/>
    <mergeCell ref="A62:D62"/>
    <mergeCell ref="A63:D63"/>
    <mergeCell ref="E79:H79"/>
    <mergeCell ref="A80:D80"/>
    <mergeCell ref="E80:H80"/>
    <mergeCell ref="A70:D70"/>
    <mergeCell ref="A71:D71"/>
    <mergeCell ref="A72:D72"/>
    <mergeCell ref="A77:D77"/>
    <mergeCell ref="A78:D78"/>
    <mergeCell ref="A73:D73"/>
    <mergeCell ref="A74:D74"/>
    <mergeCell ref="A64:D64"/>
    <mergeCell ref="A65:D65"/>
    <mergeCell ref="A75:D75"/>
    <mergeCell ref="A76:D76"/>
    <mergeCell ref="A79:D79"/>
    <mergeCell ref="A88:D88"/>
    <mergeCell ref="E88:H88"/>
    <mergeCell ref="A81:D81"/>
    <mergeCell ref="E81:H81"/>
    <mergeCell ref="A84:D84"/>
    <mergeCell ref="E84:H84"/>
    <mergeCell ref="A82:D82"/>
    <mergeCell ref="E82:H82"/>
    <mergeCell ref="A83:D83"/>
    <mergeCell ref="E87:H87"/>
    <mergeCell ref="A87:D87"/>
    <mergeCell ref="A92:D92"/>
    <mergeCell ref="A95:I95"/>
    <mergeCell ref="E83:H83"/>
    <mergeCell ref="A93:D93"/>
    <mergeCell ref="A94:I94"/>
    <mergeCell ref="A85:D85"/>
    <mergeCell ref="E85:H85"/>
    <mergeCell ref="A86:D86"/>
    <mergeCell ref="E86:H86"/>
    <mergeCell ref="A89:D89"/>
    <mergeCell ref="A90:D90"/>
    <mergeCell ref="E90:H90"/>
    <mergeCell ref="A91:D91"/>
    <mergeCell ref="E89:H89"/>
    <mergeCell ref="A96:I96"/>
    <mergeCell ref="A97:I97"/>
    <mergeCell ref="A100:B100"/>
    <mergeCell ref="C100:D100"/>
    <mergeCell ref="E100:F100"/>
    <mergeCell ref="G100:H100"/>
    <mergeCell ref="A101:B101"/>
    <mergeCell ref="C101:D101"/>
    <mergeCell ref="E101:F101"/>
    <mergeCell ref="G101:H101"/>
    <mergeCell ref="G105:H105"/>
    <mergeCell ref="A104:B104"/>
    <mergeCell ref="C104:D104"/>
    <mergeCell ref="E104:F104"/>
    <mergeCell ref="G104:H104"/>
    <mergeCell ref="A125:G125"/>
    <mergeCell ref="A128:G128"/>
    <mergeCell ref="A107:E108"/>
    <mergeCell ref="A105:B105"/>
    <mergeCell ref="A110:D110"/>
    <mergeCell ref="A113:G113"/>
    <mergeCell ref="A115:G115"/>
    <mergeCell ref="A117:G117"/>
    <mergeCell ref="C105:D105"/>
    <mergeCell ref="E105:F105"/>
    <mergeCell ref="A181:G181"/>
    <mergeCell ref="A138:G138"/>
    <mergeCell ref="A140:G140"/>
    <mergeCell ref="A166:G166"/>
    <mergeCell ref="A169:G169"/>
    <mergeCell ref="A176:G176"/>
    <mergeCell ref="A179:G179"/>
  </mergeCells>
  <printOptions/>
  <pageMargins left="0.75" right="0.75" top="1" bottom="1" header="0.5" footer="0.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МУЖРП5-Х</cp:lastModifiedBy>
  <cp:lastPrinted>2013-12-26T12:10:56Z</cp:lastPrinted>
  <dcterms:created xsi:type="dcterms:W3CDTF">2009-12-21T08:51:14Z</dcterms:created>
  <dcterms:modified xsi:type="dcterms:W3CDTF">2013-12-26T12:11:15Z</dcterms:modified>
  <cp:category/>
  <cp:version/>
  <cp:contentType/>
  <cp:contentStatus/>
</cp:coreProperties>
</file>