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41" windowWidth="11850" windowHeight="9120" activeTab="0"/>
  </bookViews>
  <sheets>
    <sheet name="Свердлова 3" sheetId="1" r:id="rId1"/>
  </sheets>
  <definedNames/>
  <calcPr fullCalcOnLoad="1"/>
</workbook>
</file>

<file path=xl/sharedStrings.xml><?xml version="1.0" encoding="utf-8"?>
<sst xmlns="http://schemas.openxmlformats.org/spreadsheetml/2006/main" count="281" uniqueCount="219">
  <si>
    <t>Год постройки</t>
  </si>
  <si>
    <t>Этажность:</t>
  </si>
  <si>
    <t>Квартир:</t>
  </si>
  <si>
    <t>задвижки</t>
  </si>
  <si>
    <t>вентиля</t>
  </si>
  <si>
    <t>% износа</t>
  </si>
  <si>
    <t>Подъездов:</t>
  </si>
  <si>
    <t>Кол-во проживающих:</t>
  </si>
  <si>
    <t>Отопление</t>
  </si>
  <si>
    <t>Материал стен</t>
  </si>
  <si>
    <t>Лифтов:</t>
  </si>
  <si>
    <t>Материал кровли</t>
  </si>
  <si>
    <t>мягкая</t>
  </si>
  <si>
    <t>Мусоропроводов:</t>
  </si>
  <si>
    <t>ГВС</t>
  </si>
  <si>
    <t>Площадь:</t>
  </si>
  <si>
    <t>кв.м.</t>
  </si>
  <si>
    <t>Уборочная площадь:</t>
  </si>
  <si>
    <t>Полезная</t>
  </si>
  <si>
    <t>Площадь лест. Клеток</t>
  </si>
  <si>
    <t>Жилая</t>
  </si>
  <si>
    <t>Стены</t>
  </si>
  <si>
    <t>ХВС</t>
  </si>
  <si>
    <t>Общего пользования</t>
  </si>
  <si>
    <t xml:space="preserve">Тротуар </t>
  </si>
  <si>
    <t>Чердачного помещения</t>
  </si>
  <si>
    <t>Прочие замощения</t>
  </si>
  <si>
    <t>Тех. Подполья</t>
  </si>
  <si>
    <t>Газон</t>
  </si>
  <si>
    <t>Кровля</t>
  </si>
  <si>
    <t>Грунт</t>
  </si>
  <si>
    <t>труба</t>
  </si>
  <si>
    <t>стояки</t>
  </si>
  <si>
    <t>Проезд</t>
  </si>
  <si>
    <t>Канализация</t>
  </si>
  <si>
    <t>Тариф:</t>
  </si>
  <si>
    <t>Источники дохода</t>
  </si>
  <si>
    <t>Фактический доход (оплата населением), руб</t>
  </si>
  <si>
    <t>Содержание</t>
  </si>
  <si>
    <t>Кап. Ремонт</t>
  </si>
  <si>
    <t>% оплат</t>
  </si>
  <si>
    <t>Собственники жилых помещений</t>
  </si>
  <si>
    <t>оплачено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</si>
  <si>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</si>
  <si>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</si>
  <si>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</si>
  <si>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</si>
  <si>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</si>
  <si>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</si>
  <si>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</si>
  <si>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</si>
  <si>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</si>
  <si>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</si>
  <si>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</si>
  <si>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</si>
  <si>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РАСХОДЫ НА ДОМ  </t>
  </si>
  <si>
    <t>Утверждены Приказом Госстроя России от 09.12.99г. №  139</t>
  </si>
  <si>
    <t>Наименование работ и услуг</t>
  </si>
  <si>
    <t>Натуральные показатели</t>
  </si>
  <si>
    <t>Нормы времени на ед. изм. (чел.час)</t>
  </si>
  <si>
    <t>С-ть чел.\час</t>
  </si>
  <si>
    <t>Всего    руб.</t>
  </si>
  <si>
    <t>Объем</t>
  </si>
  <si>
    <t>Кол-во раз за период</t>
  </si>
  <si>
    <t>Содержание строительных конструкций</t>
  </si>
  <si>
    <t>Осмотр кровли</t>
  </si>
  <si>
    <t>м2</t>
  </si>
  <si>
    <t>Осмотр внутренней штукатурки, окраски и отделки (швы)</t>
  </si>
  <si>
    <t>Удаление снега и наледи с кровли, козырьков</t>
  </si>
  <si>
    <t>Очистка от мусора чердаков и подвалов</t>
  </si>
  <si>
    <t>Проведение общего осмотра (весенне-осенний) и составление акта</t>
  </si>
  <si>
    <t>Итого:</t>
  </si>
  <si>
    <t>Содержание инженерного оборудования</t>
  </si>
  <si>
    <t>Частичный осмотр ХВС, ГВС и канализации в чердачных, подвальных помещениях и на лестничных клетках</t>
  </si>
  <si>
    <t>1000м2 ж\пл</t>
  </si>
  <si>
    <t>Частичный осмотр ЦО (чердачное и подвальное помещение)</t>
  </si>
  <si>
    <t>Частичный осмотр системы электроснабжения (лестничная клетка) скрытая электропроводка</t>
  </si>
  <si>
    <t>100 лест. площадок</t>
  </si>
  <si>
    <t>Частичный осмотр системы электроснабжения (чердак и подвал)</t>
  </si>
  <si>
    <t>1 эл\мотор</t>
  </si>
  <si>
    <t>Подготовка к сезонной эксплуатации (консервация системы отопления, кроме квартир)</t>
  </si>
  <si>
    <t>100п.м. трубы</t>
  </si>
  <si>
    <t>Подготовка к сезонной эксплуатации (расконсервация системы отопления, кроме квартир)</t>
  </si>
  <si>
    <t>Подготовка к сезонной эксплуатации (испытание системы ЦО)</t>
  </si>
  <si>
    <t>Подготовка к сезонной эксплуатации (слив и накопление водой системы ЦО)</t>
  </si>
  <si>
    <t>100м трубы</t>
  </si>
  <si>
    <t>Подготовка к сезонной эксплуатации (очистка грязевиков, воздухосборников, вантузов)</t>
  </si>
  <si>
    <t>Подготовка к сезонной эксплуатации (промывка системы ЦО и ГВС гидравлическим и гидропневматическим способом)</t>
  </si>
  <si>
    <t>100м3 здания</t>
  </si>
  <si>
    <t>Запуск системы отопления (слив воды и наполнение водой системы отопления)</t>
  </si>
  <si>
    <t>Запуск системы отопления (ликвидация воздушных пробок в стояках отопления)</t>
  </si>
  <si>
    <t>1 ст.</t>
  </si>
  <si>
    <t>Санитарное содержание</t>
  </si>
  <si>
    <t>Мытьё окон</t>
  </si>
  <si>
    <t>Мытьё стен</t>
  </si>
  <si>
    <t>Подметание свежевыпавшего снега толщиной слоя до 2 см с асфальта</t>
  </si>
  <si>
    <t>Посыпка асфальта песком</t>
  </si>
  <si>
    <t>Уборка контейнерных площадок</t>
  </si>
  <si>
    <t>Очистка урн от мусора</t>
  </si>
  <si>
    <t>шт.</t>
  </si>
  <si>
    <t>Уборка газонов от случайного мусора</t>
  </si>
  <si>
    <t>Прочие услуги по содержанию</t>
  </si>
  <si>
    <t>Материалы МОП</t>
  </si>
  <si>
    <t>Материалы по ТО</t>
  </si>
  <si>
    <t>Аварийно-диспетчерское обслуживание</t>
  </si>
  <si>
    <t>постоянно</t>
  </si>
  <si>
    <t>Освещение мест общего пользования и лифтов</t>
  </si>
  <si>
    <t>Вентканалы</t>
  </si>
  <si>
    <t>1 раз в год</t>
  </si>
  <si>
    <t>по графику</t>
  </si>
  <si>
    <t>Услуги управления</t>
  </si>
  <si>
    <t>Транспортный участок</t>
  </si>
  <si>
    <t>ЕСН</t>
  </si>
  <si>
    <t>Прочие расходы</t>
  </si>
  <si>
    <t>Всего расходов:</t>
  </si>
  <si>
    <t>Рентабельность 5%</t>
  </si>
  <si>
    <t>Итого с рентабельностью</t>
  </si>
  <si>
    <t>НДС 18%</t>
  </si>
  <si>
    <t>Итого по содержанию домовладений:</t>
  </si>
  <si>
    <t>Текущий ремонт</t>
  </si>
  <si>
    <t>Ед. изм</t>
  </si>
  <si>
    <t>Кол-во</t>
  </si>
  <si>
    <t>цена</t>
  </si>
  <si>
    <t>стоимость</t>
  </si>
  <si>
    <t>Расходы на текущий ремонт дома</t>
  </si>
  <si>
    <t xml:space="preserve">Подметание территории </t>
  </si>
  <si>
    <t>Капитальный ремонт</t>
  </si>
  <si>
    <t>Расходы на капитальный ремонт</t>
  </si>
  <si>
    <t>Остаток денежных средств по капремонту</t>
  </si>
  <si>
    <t>Текущий ремонт силами подрядных организаций</t>
  </si>
  <si>
    <t>Название организации</t>
  </si>
  <si>
    <t>Виды работ</t>
  </si>
  <si>
    <t>Расходы на текущий ремонт</t>
  </si>
  <si>
    <t>кирпич</t>
  </si>
  <si>
    <t>Влажное подметание лестничных клеток и маршей нижних 3 этажей при наличии  мусопровода</t>
  </si>
  <si>
    <t>Влажное подметание лестничных клеток и маршей выше 3 этажа при наличии мусопровода</t>
  </si>
  <si>
    <t>Мытьё лестничных площадок и маршей нижних 3 этажей при наличии  мусоропровода</t>
  </si>
  <si>
    <t>Мытьё лестничных площадок и маршей выше 3 этажа при наличии мусоропровода</t>
  </si>
  <si>
    <t>Ф100 -лежачка  чуг</t>
  </si>
  <si>
    <t>ф89-9щт</t>
  </si>
  <si>
    <t>вентиль - 62шт</t>
  </si>
  <si>
    <t>кран - 62шт</t>
  </si>
  <si>
    <t>ф100-2шт</t>
  </si>
  <si>
    <t>вентиль-9шт</t>
  </si>
  <si>
    <t>кран-7шт</t>
  </si>
  <si>
    <t>ф50-1шт</t>
  </si>
  <si>
    <t>ф89-1щт</t>
  </si>
  <si>
    <t>вентиль -11шт</t>
  </si>
  <si>
    <t>кран  -13шт</t>
  </si>
  <si>
    <t>ЯНВАРЬ</t>
  </si>
  <si>
    <t>ИТОГО за ЯНВАРЬ</t>
  </si>
  <si>
    <t>ФЕВРАЛЬ</t>
  </si>
  <si>
    <t>шт</t>
  </si>
  <si>
    <t>ИТОГО за ФЕВРАЛЬ</t>
  </si>
  <si>
    <t>МАРТ</t>
  </si>
  <si>
    <t>ИТОГО за МАРТ</t>
  </si>
  <si>
    <t>АПРЕЛЬ</t>
  </si>
  <si>
    <t>ИТОГО за АПРЕЛЬ</t>
  </si>
  <si>
    <t>МАЙ</t>
  </si>
  <si>
    <t>-</t>
  </si>
  <si>
    <t>ИТОГО за МАЙ</t>
  </si>
  <si>
    <t>ИЮНЬ</t>
  </si>
  <si>
    <t>ИТОГО за ИЮНЬ</t>
  </si>
  <si>
    <t>ИЮЛЬ</t>
  </si>
  <si>
    <t>кг</t>
  </si>
  <si>
    <t>ИТОГО за ИЮЛЬ</t>
  </si>
  <si>
    <t>АВГУСТ</t>
  </si>
  <si>
    <t>ИТОГО за АВГУСТ</t>
  </si>
  <si>
    <t>СЕНТЯБРЬ</t>
  </si>
  <si>
    <t>ИТОГО за СЕНТЯБРЬ</t>
  </si>
  <si>
    <t>ОКТЯБРЬ</t>
  </si>
  <si>
    <t>м</t>
  </si>
  <si>
    <t>ИТОГО за ОКТЯБРЬ</t>
  </si>
  <si>
    <t>НОЯБРЬ</t>
  </si>
  <si>
    <t>ИТОГО за НОЯБРЬ</t>
  </si>
  <si>
    <t>ДЕКАБРЬ</t>
  </si>
  <si>
    <t>ИТОГО за ДЕКАБРЬ</t>
  </si>
  <si>
    <t>ИТОГО за 12 месяцев</t>
  </si>
  <si>
    <t>рул.</t>
  </si>
  <si>
    <t>протяженность</t>
  </si>
  <si>
    <t>Запланированный доход руб. (начисление по тарифу за ТО)100%</t>
  </si>
  <si>
    <t>начислено</t>
  </si>
  <si>
    <t xml:space="preserve">Согласно нормативам труда по содержанию и ремонту жилищного фонда. </t>
  </si>
  <si>
    <t>Ед. Изм.</t>
  </si>
  <si>
    <t>Очистка от мусора и грязи кровли, козырьков на входами в подъезды</t>
  </si>
  <si>
    <t>1000м2 осмотр S</t>
  </si>
  <si>
    <t>Запуск системы отопления (регулировка трёхходовых и пробковых кранов, вентилей и задвижек в технических подпольях, помещениях элеваторных узлов, бойлерных)</t>
  </si>
  <si>
    <t>Дератизация и дезинсекция</t>
  </si>
  <si>
    <t>РАЗНОЕ(лампочки, остекление и др.)</t>
  </si>
  <si>
    <t>отчет по затратам на содержание и ремонт общего имущества многоквартирного дома по адресу: ул. Свердлова, д. 3 за 2012год</t>
  </si>
  <si>
    <t>Начислено за 2012 год</t>
  </si>
  <si>
    <t>Начислено за 2006-2011 годы</t>
  </si>
  <si>
    <t>задвижка МЗВ Д=80 мм(цо)</t>
  </si>
  <si>
    <t>бочонок ниппельный Д=16*1/2 мм(гвс)</t>
  </si>
  <si>
    <t>термометр ртутный прямой</t>
  </si>
  <si>
    <t>манометр МП 100-10</t>
  </si>
  <si>
    <t>бобышка д/терм</t>
  </si>
  <si>
    <t>оправа д/терм</t>
  </si>
  <si>
    <t>1П 63А С ВА 47-29</t>
  </si>
  <si>
    <t>патрон  подвесной Е-27</t>
  </si>
  <si>
    <t>нипель латунь Д=15мм(хвс)</t>
  </si>
  <si>
    <t>муфта чугун перех. Д=40*32 мм (хвс)</t>
  </si>
  <si>
    <t>смеситель с душ.сеткой</t>
  </si>
  <si>
    <t>краска белая</t>
  </si>
  <si>
    <t>цемент М500</t>
  </si>
  <si>
    <t>т</t>
  </si>
  <si>
    <t>кирпич красный</t>
  </si>
  <si>
    <t>штукатурка теплон</t>
  </si>
  <si>
    <t>выключатель 1 кл. о/у</t>
  </si>
  <si>
    <t>муфта комб.разъем.внут.р20*1/2ппр(цо)</t>
  </si>
  <si>
    <t>уголок Д=20*45 ппр(цо)</t>
  </si>
  <si>
    <t>труба Д=40*20ппр (цо)</t>
  </si>
  <si>
    <t>краска бел.фас.</t>
  </si>
  <si>
    <t>шпатлевка финишная</t>
  </si>
  <si>
    <t>манжет резиновый  д=110  (кз)</t>
  </si>
  <si>
    <t>заглушка Д=110 пвх (вк)</t>
  </si>
  <si>
    <t xml:space="preserve">гидроизол ХКП </t>
  </si>
  <si>
    <t>проушина 70*30</t>
  </si>
  <si>
    <t>ДОХОДЫ ДОМА ЗА ПЕРИОД  __2012 год____________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</si>
</sst>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&lt;=9999999]###\-####;\(###\)\ ###\-####"/>
    <numFmt numFmtId="172" formatCode="0.000"/>
    <numFmt numFmtId="173" formatCode="0.0000"/>
    <numFmt numFmtId="174" formatCode="#,##0.00_ ;\-#,##0.00\ "/>
    <numFmt numFmtId="175" formatCode="#,##0.00_р_."/>
  </numFmts>
  <fonts count="2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u val="single"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left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wrapText="1"/>
    </xf>
    <xf numFmtId="1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left" wrapText="1"/>
    </xf>
    <xf numFmtId="2" fontId="0" fillId="0" borderId="10" xfId="0" applyNumberFormat="1" applyFill="1" applyBorder="1" applyAlignment="1">
      <alignment horizontal="center" wrapText="1"/>
    </xf>
    <xf numFmtId="2" fontId="0" fillId="0" borderId="0" xfId="0" applyNumberFormat="1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1" fontId="0" fillId="0" borderId="10" xfId="0" applyNumberFormat="1" applyFill="1" applyBorder="1" applyAlignment="1">
      <alignment horizontal="center" wrapText="1"/>
    </xf>
    <xf numFmtId="2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wrapText="1"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 horizontal="left" wrapText="1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5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1" fontId="8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right" wrapText="1"/>
    </xf>
    <xf numFmtId="2" fontId="4" fillId="0" borderId="10" xfId="0" applyNumberFormat="1" applyFont="1" applyFill="1" applyBorder="1" applyAlignment="1">
      <alignment/>
    </xf>
    <xf numFmtId="166" fontId="8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4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5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5" fillId="3" borderId="0" xfId="0" applyFont="1" applyFill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2" fontId="8" fillId="0" borderId="16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175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zoomScalePageLayoutView="0" workbookViewId="0" topLeftCell="A141">
      <selection activeCell="A165" sqref="A103:IV165"/>
    </sheetView>
  </sheetViews>
  <sheetFormatPr defaultColWidth="9.00390625" defaultRowHeight="12.75"/>
  <cols>
    <col min="1" max="1" width="37.25390625" style="0" customWidth="1"/>
    <col min="2" max="2" width="8.00390625" style="0" customWidth="1"/>
    <col min="3" max="3" width="6.75390625" style="0" customWidth="1"/>
    <col min="4" max="4" width="9.75390625" style="0" customWidth="1"/>
    <col min="5" max="5" width="10.75390625" style="0" customWidth="1"/>
    <col min="6" max="6" width="12.375" style="0" customWidth="1"/>
    <col min="8" max="8" width="10.25390625" style="30" customWidth="1"/>
    <col min="9" max="9" width="11.875" style="1" customWidth="1"/>
    <col min="10" max="10" width="12.25390625" style="0" customWidth="1"/>
    <col min="11" max="11" width="11.25390625" style="0" customWidth="1"/>
    <col min="12" max="12" width="13.125" style="0" customWidth="1"/>
  </cols>
  <sheetData>
    <row r="1" spans="1:9" ht="29.25" customHeight="1">
      <c r="A1" s="107" t="s">
        <v>189</v>
      </c>
      <c r="B1" s="107"/>
      <c r="C1" s="107"/>
      <c r="D1" s="107"/>
      <c r="E1" s="107"/>
      <c r="F1" s="107"/>
      <c r="G1" s="107"/>
      <c r="I1"/>
    </row>
    <row r="2" spans="1:12" ht="12.75">
      <c r="A2" t="s">
        <v>0</v>
      </c>
      <c r="C2">
        <v>1972</v>
      </c>
      <c r="D2" t="s">
        <v>1</v>
      </c>
      <c r="F2">
        <v>5</v>
      </c>
      <c r="G2" t="s">
        <v>2</v>
      </c>
      <c r="H2" s="31">
        <v>100</v>
      </c>
      <c r="I2" s="2"/>
      <c r="J2" s="3" t="s">
        <v>179</v>
      </c>
      <c r="K2" s="2" t="s">
        <v>3</v>
      </c>
      <c r="L2" s="3" t="s">
        <v>4</v>
      </c>
    </row>
    <row r="3" spans="1:12" ht="12.75">
      <c r="A3" t="s">
        <v>5</v>
      </c>
      <c r="C3">
        <v>33</v>
      </c>
      <c r="D3" t="s">
        <v>6</v>
      </c>
      <c r="F3">
        <v>6</v>
      </c>
      <c r="G3" s="108" t="s">
        <v>7</v>
      </c>
      <c r="H3" s="111">
        <v>0</v>
      </c>
      <c r="I3" s="2" t="s">
        <v>8</v>
      </c>
      <c r="J3" s="2">
        <v>220.2</v>
      </c>
      <c r="K3" s="52" t="s">
        <v>139</v>
      </c>
      <c r="L3" s="52" t="s">
        <v>140</v>
      </c>
    </row>
    <row r="4" spans="1:12" ht="12.75">
      <c r="A4" t="s">
        <v>9</v>
      </c>
      <c r="C4" t="s">
        <v>133</v>
      </c>
      <c r="D4" t="s">
        <v>10</v>
      </c>
      <c r="F4" s="44"/>
      <c r="G4" s="109"/>
      <c r="H4" s="112"/>
      <c r="I4" s="114"/>
      <c r="J4" s="115"/>
      <c r="K4" s="52"/>
      <c r="L4" s="52" t="s">
        <v>141</v>
      </c>
    </row>
    <row r="5" spans="1:12" ht="12.75">
      <c r="A5" t="s">
        <v>11</v>
      </c>
      <c r="C5" t="s">
        <v>12</v>
      </c>
      <c r="D5" t="s">
        <v>13</v>
      </c>
      <c r="G5" s="110"/>
      <c r="H5" s="113"/>
      <c r="I5" s="116"/>
      <c r="J5" s="117"/>
      <c r="K5" s="52"/>
      <c r="L5" s="53"/>
    </row>
    <row r="6" spans="9:12" ht="12.75">
      <c r="I6" s="2" t="s">
        <v>14</v>
      </c>
      <c r="J6" s="2">
        <v>440.4</v>
      </c>
      <c r="K6" s="53" t="s">
        <v>145</v>
      </c>
      <c r="L6" s="54" t="s">
        <v>147</v>
      </c>
    </row>
    <row r="7" spans="1:12" ht="12.75">
      <c r="A7" s="99" t="s">
        <v>15</v>
      </c>
      <c r="B7" s="101"/>
      <c r="C7" s="1" t="s">
        <v>16</v>
      </c>
      <c r="D7" s="99" t="s">
        <v>17</v>
      </c>
      <c r="E7" s="100"/>
      <c r="F7" s="101"/>
      <c r="G7" s="1" t="s">
        <v>16</v>
      </c>
      <c r="I7" s="114"/>
      <c r="J7" s="115"/>
      <c r="K7" s="103" t="s">
        <v>146</v>
      </c>
      <c r="L7" s="52" t="s">
        <v>148</v>
      </c>
    </row>
    <row r="8" spans="1:12" ht="12.75">
      <c r="A8" s="68" t="s">
        <v>18</v>
      </c>
      <c r="B8" s="68"/>
      <c r="C8">
        <v>4522.6</v>
      </c>
      <c r="D8" s="99" t="s">
        <v>19</v>
      </c>
      <c r="E8" s="100"/>
      <c r="F8" s="101"/>
      <c r="G8" s="45">
        <v>392.9</v>
      </c>
      <c r="I8" s="116"/>
      <c r="J8" s="117"/>
      <c r="K8" s="106"/>
      <c r="L8" s="52"/>
    </row>
    <row r="9" spans="1:12" ht="12.75">
      <c r="A9" s="68" t="s">
        <v>20</v>
      </c>
      <c r="B9" s="68"/>
      <c r="C9">
        <v>3023.5</v>
      </c>
      <c r="D9" s="99" t="s">
        <v>21</v>
      </c>
      <c r="E9" s="100"/>
      <c r="F9" s="101"/>
      <c r="G9" s="51">
        <v>1596</v>
      </c>
      <c r="I9" s="2" t="s">
        <v>22</v>
      </c>
      <c r="J9" s="2">
        <v>97.4</v>
      </c>
      <c r="K9" s="52" t="s">
        <v>142</v>
      </c>
      <c r="L9" s="52" t="s">
        <v>143</v>
      </c>
    </row>
    <row r="10" spans="1:12" ht="12.75">
      <c r="A10" s="68" t="s">
        <v>23</v>
      </c>
      <c r="B10" s="68"/>
      <c r="C10" s="45">
        <v>1499.1</v>
      </c>
      <c r="D10" s="99" t="s">
        <v>24</v>
      </c>
      <c r="E10" s="100"/>
      <c r="F10" s="101"/>
      <c r="G10">
        <v>466</v>
      </c>
      <c r="I10" s="105"/>
      <c r="J10" s="105"/>
      <c r="K10" s="103"/>
      <c r="L10" s="52" t="s">
        <v>144</v>
      </c>
    </row>
    <row r="11" spans="1:12" ht="12.75" customHeight="1">
      <c r="A11" s="68" t="s">
        <v>25</v>
      </c>
      <c r="B11" s="68"/>
      <c r="C11">
        <v>0</v>
      </c>
      <c r="D11" s="99" t="s">
        <v>26</v>
      </c>
      <c r="E11" s="100"/>
      <c r="F11" s="101"/>
      <c r="G11">
        <v>0</v>
      </c>
      <c r="I11" s="105"/>
      <c r="J11" s="105"/>
      <c r="K11" s="104"/>
      <c r="L11" s="52"/>
    </row>
    <row r="12" spans="1:12" ht="12.75">
      <c r="A12" s="68" t="s">
        <v>27</v>
      </c>
      <c r="B12" s="68"/>
      <c r="C12" s="5">
        <v>1235</v>
      </c>
      <c r="D12" s="99" t="s">
        <v>28</v>
      </c>
      <c r="E12" s="100"/>
      <c r="F12" s="101"/>
      <c r="G12">
        <v>2576</v>
      </c>
      <c r="I12" s="105"/>
      <c r="J12" s="105"/>
      <c r="K12" s="104"/>
      <c r="L12" s="52"/>
    </row>
    <row r="13" spans="1:12" ht="12.75">
      <c r="A13" s="72" t="s">
        <v>29</v>
      </c>
      <c r="B13" s="72"/>
      <c r="C13" s="5">
        <v>1238</v>
      </c>
      <c r="D13" s="99" t="s">
        <v>30</v>
      </c>
      <c r="E13" s="100"/>
      <c r="F13" s="101"/>
      <c r="I13" s="4"/>
      <c r="J13" s="2" t="s">
        <v>179</v>
      </c>
      <c r="K13" s="55" t="s">
        <v>31</v>
      </c>
      <c r="L13" s="55" t="s">
        <v>32</v>
      </c>
    </row>
    <row r="14" spans="4:12" ht="12.75">
      <c r="D14" s="99" t="s">
        <v>33</v>
      </c>
      <c r="E14" s="100"/>
      <c r="F14" s="101"/>
      <c r="G14" s="7">
        <v>1021</v>
      </c>
      <c r="I14" s="2" t="s">
        <v>34</v>
      </c>
      <c r="J14" s="8">
        <v>97.4</v>
      </c>
      <c r="K14" s="94" t="s">
        <v>138</v>
      </c>
      <c r="L14" s="3"/>
    </row>
    <row r="15" spans="6:12" ht="12.75">
      <c r="F15" s="9" t="s">
        <v>35</v>
      </c>
      <c r="G15" s="59">
        <v>19.5</v>
      </c>
      <c r="I15" s="96"/>
      <c r="J15" s="97"/>
      <c r="K15" s="95"/>
      <c r="L15" s="3"/>
    </row>
    <row r="16" ht="12.75">
      <c r="B16" t="s">
        <v>218</v>
      </c>
    </row>
    <row r="18" spans="1:9" ht="39.75" customHeight="1">
      <c r="A18" s="102" t="s">
        <v>36</v>
      </c>
      <c r="B18" s="102"/>
      <c r="C18" s="72" t="s">
        <v>180</v>
      </c>
      <c r="D18" s="72"/>
      <c r="E18" s="72"/>
      <c r="F18" s="82" t="s">
        <v>37</v>
      </c>
      <c r="G18" s="83"/>
      <c r="H18" s="74"/>
      <c r="I18" s="10"/>
    </row>
    <row r="19" spans="1:8" ht="31.5" customHeight="1">
      <c r="A19" s="102"/>
      <c r="B19" s="102"/>
      <c r="C19" s="82" t="s">
        <v>38</v>
      </c>
      <c r="D19" s="74"/>
      <c r="E19" s="11" t="s">
        <v>39</v>
      </c>
      <c r="F19" s="82" t="s">
        <v>38</v>
      </c>
      <c r="G19" s="74"/>
      <c r="H19" s="32" t="s">
        <v>40</v>
      </c>
    </row>
    <row r="20" spans="1:8" ht="25.5" customHeight="1">
      <c r="A20" s="69" t="s">
        <v>41</v>
      </c>
      <c r="B20" s="69"/>
      <c r="C20" s="75">
        <f>C8*12*G15</f>
        <v>1058288.4000000001</v>
      </c>
      <c r="D20" s="98"/>
      <c r="E20" s="13">
        <f>(C9*1.3*6)+(C9*1.37*6)</f>
        <v>48436.47000000001</v>
      </c>
      <c r="F20" s="75">
        <f>SUM(F23:H34)</f>
        <v>992812.65</v>
      </c>
      <c r="G20" s="98"/>
      <c r="H20" s="56">
        <f>(F23+F24+F25+F26+F27+F28+F29+F30+F31)*100/(C25+C23+C24+C26+C27+C28+C29+C30+C31)</f>
        <v>88.45357322939108</v>
      </c>
    </row>
    <row r="21" spans="1:8" ht="12.75">
      <c r="A21" s="14"/>
      <c r="B21" s="14"/>
      <c r="C21" s="15"/>
      <c r="D21" s="15"/>
      <c r="E21" s="15"/>
      <c r="F21" s="15"/>
      <c r="G21" s="15"/>
      <c r="H21" s="33"/>
    </row>
    <row r="22" spans="1:9" ht="12.75">
      <c r="A22" s="12"/>
      <c r="B22" s="16"/>
      <c r="C22" s="72" t="s">
        <v>181</v>
      </c>
      <c r="D22" s="72"/>
      <c r="E22" s="72"/>
      <c r="F22" s="91" t="s">
        <v>42</v>
      </c>
      <c r="G22" s="91"/>
      <c r="H22" s="91"/>
      <c r="I22" s="13" t="s">
        <v>40</v>
      </c>
    </row>
    <row r="23" spans="1:9" ht="12.75">
      <c r="A23" s="72" t="s">
        <v>43</v>
      </c>
      <c r="B23" s="72"/>
      <c r="C23" s="91">
        <f>(C20+E20)/12</f>
        <v>92227.07250000001</v>
      </c>
      <c r="D23" s="91"/>
      <c r="E23" s="91"/>
      <c r="F23" s="91">
        <v>70622.19</v>
      </c>
      <c r="G23" s="91"/>
      <c r="H23" s="91"/>
      <c r="I23" s="35">
        <f>F23*100%/C23</f>
        <v>0.7657425101506935</v>
      </c>
    </row>
    <row r="24" spans="1:9" ht="12.75">
      <c r="A24" s="72" t="s">
        <v>44</v>
      </c>
      <c r="B24" s="72"/>
      <c r="C24" s="91">
        <f>(C20+E20)/12</f>
        <v>92227.07250000001</v>
      </c>
      <c r="D24" s="91"/>
      <c r="E24" s="91"/>
      <c r="F24" s="91">
        <v>84917.53</v>
      </c>
      <c r="G24" s="91"/>
      <c r="H24" s="91"/>
      <c r="I24" s="35">
        <f aca="true" t="shared" si="0" ref="I24:I34">F24*100%/C24</f>
        <v>0.9207440689391935</v>
      </c>
    </row>
    <row r="25" spans="1:9" ht="12.75">
      <c r="A25" s="72" t="s">
        <v>45</v>
      </c>
      <c r="B25" s="72"/>
      <c r="C25" s="91">
        <f>(C20+E20)/12</f>
        <v>92227.07250000001</v>
      </c>
      <c r="D25" s="91"/>
      <c r="E25" s="91"/>
      <c r="F25" s="91">
        <v>85256.88</v>
      </c>
      <c r="G25" s="91"/>
      <c r="H25" s="91"/>
      <c r="I25" s="35">
        <f t="shared" si="0"/>
        <v>0.9244235742167789</v>
      </c>
    </row>
    <row r="26" spans="1:9" ht="12.75">
      <c r="A26" s="72" t="s">
        <v>46</v>
      </c>
      <c r="B26" s="72"/>
      <c r="C26" s="91">
        <f>(C20+E20)/12</f>
        <v>92227.07250000001</v>
      </c>
      <c r="D26" s="91"/>
      <c r="E26" s="91"/>
      <c r="F26" s="91">
        <v>75772.35</v>
      </c>
      <c r="G26" s="91"/>
      <c r="H26" s="91"/>
      <c r="I26" s="35">
        <f t="shared" si="0"/>
        <v>0.8215846816562458</v>
      </c>
    </row>
    <row r="27" spans="1:9" ht="12.75">
      <c r="A27" s="72" t="s">
        <v>47</v>
      </c>
      <c r="B27" s="72"/>
      <c r="C27" s="91">
        <f>(C20+E20)/12</f>
        <v>92227.07250000001</v>
      </c>
      <c r="D27" s="91"/>
      <c r="E27" s="91"/>
      <c r="F27" s="91">
        <v>76106.85</v>
      </c>
      <c r="G27" s="91"/>
      <c r="H27" s="91"/>
      <c r="I27" s="35">
        <f t="shared" si="0"/>
        <v>0.8252115993381445</v>
      </c>
    </row>
    <row r="28" spans="1:9" ht="12.75">
      <c r="A28" s="72" t="s">
        <v>48</v>
      </c>
      <c r="B28" s="72"/>
      <c r="C28" s="91">
        <f>(C20+E20)/12</f>
        <v>92227.07250000001</v>
      </c>
      <c r="D28" s="91"/>
      <c r="E28" s="91"/>
      <c r="F28" s="91">
        <v>86425.15</v>
      </c>
      <c r="G28" s="91"/>
      <c r="H28" s="91"/>
      <c r="I28" s="35">
        <f t="shared" si="0"/>
        <v>0.9370908959514028</v>
      </c>
    </row>
    <row r="29" spans="1:9" ht="12.75">
      <c r="A29" s="72" t="s">
        <v>49</v>
      </c>
      <c r="B29" s="72"/>
      <c r="C29" s="91">
        <f>(C20+E20)/12</f>
        <v>92227.07250000001</v>
      </c>
      <c r="D29" s="91"/>
      <c r="E29" s="91"/>
      <c r="F29" s="91">
        <v>93193.24</v>
      </c>
      <c r="G29" s="91"/>
      <c r="H29" s="91"/>
      <c r="I29" s="35">
        <f t="shared" si="0"/>
        <v>1.0104759640939487</v>
      </c>
    </row>
    <row r="30" spans="1:9" ht="12.75">
      <c r="A30" s="72" t="s">
        <v>50</v>
      </c>
      <c r="B30" s="72"/>
      <c r="C30" s="91">
        <f>(C20+E20)/12</f>
        <v>92227.07250000001</v>
      </c>
      <c r="D30" s="91"/>
      <c r="E30" s="91"/>
      <c r="F30" s="91">
        <v>84813.62</v>
      </c>
      <c r="G30" s="91"/>
      <c r="H30" s="91"/>
      <c r="I30" s="35">
        <f t="shared" si="0"/>
        <v>0.9196173932551094</v>
      </c>
    </row>
    <row r="31" spans="1:9" ht="12.75">
      <c r="A31" s="72" t="s">
        <v>51</v>
      </c>
      <c r="B31" s="72"/>
      <c r="C31" s="91">
        <f>(C20+E20)/12</f>
        <v>92227.07250000001</v>
      </c>
      <c r="D31" s="91"/>
      <c r="E31" s="91"/>
      <c r="F31" s="91">
        <v>77095.46</v>
      </c>
      <c r="G31" s="91"/>
      <c r="H31" s="91"/>
      <c r="I31" s="35">
        <f t="shared" si="0"/>
        <v>0.8359309030436806</v>
      </c>
    </row>
    <row r="32" spans="1:9" ht="12.75">
      <c r="A32" s="72" t="s">
        <v>52</v>
      </c>
      <c r="B32" s="72"/>
      <c r="C32" s="91">
        <f>(C20+E20)/12</f>
        <v>92227.07250000001</v>
      </c>
      <c r="D32" s="91"/>
      <c r="E32" s="91"/>
      <c r="F32" s="91">
        <v>83208.93</v>
      </c>
      <c r="G32" s="91"/>
      <c r="H32" s="91"/>
      <c r="I32" s="35">
        <f t="shared" si="0"/>
        <v>0.9022180553329391</v>
      </c>
    </row>
    <row r="33" spans="1:9" ht="12.75">
      <c r="A33" s="72" t="s">
        <v>53</v>
      </c>
      <c r="B33" s="72"/>
      <c r="C33" s="91">
        <f>(C20+E20)/12</f>
        <v>92227.07250000001</v>
      </c>
      <c r="D33" s="91"/>
      <c r="E33" s="91"/>
      <c r="F33" s="91">
        <v>84620.53</v>
      </c>
      <c r="G33" s="91"/>
      <c r="H33" s="91"/>
      <c r="I33" s="35">
        <f t="shared" si="0"/>
        <v>0.9175237563785839</v>
      </c>
    </row>
    <row r="34" spans="1:9" ht="12.75">
      <c r="A34" s="72" t="s">
        <v>54</v>
      </c>
      <c r="B34" s="72"/>
      <c r="C34" s="91">
        <f>(C20+E20)/12</f>
        <v>92227.07250000001</v>
      </c>
      <c r="D34" s="91"/>
      <c r="E34" s="91"/>
      <c r="F34" s="91">
        <v>90779.92</v>
      </c>
      <c r="G34" s="91"/>
      <c r="H34" s="91"/>
      <c r="I34" s="35">
        <f t="shared" si="0"/>
        <v>0.984308810192365</v>
      </c>
    </row>
    <row r="35" spans="1:8" ht="12.75">
      <c r="A35" s="17"/>
      <c r="B35" s="17"/>
      <c r="C35" s="15"/>
      <c r="D35" s="15"/>
      <c r="E35" s="15"/>
      <c r="F35" s="15"/>
      <c r="G35" s="15"/>
      <c r="H35" s="33"/>
    </row>
    <row r="36" spans="1:10" ht="12.75">
      <c r="A36" s="92" t="s">
        <v>55</v>
      </c>
      <c r="B36" s="92"/>
      <c r="C36" s="92"/>
      <c r="D36" s="93" t="s">
        <v>182</v>
      </c>
      <c r="E36" s="93"/>
      <c r="F36" s="93"/>
      <c r="G36" s="93"/>
      <c r="H36" s="93"/>
      <c r="I36" s="93"/>
      <c r="J36" s="93"/>
    </row>
    <row r="37" spans="6:10" ht="12.75">
      <c r="F37" s="88" t="s">
        <v>56</v>
      </c>
      <c r="G37" s="88"/>
      <c r="H37" s="88"/>
      <c r="I37" s="88"/>
      <c r="J37" s="88"/>
    </row>
    <row r="38" spans="1:11" ht="36" customHeight="1">
      <c r="A38" s="89" t="s">
        <v>57</v>
      </c>
      <c r="B38" s="89"/>
      <c r="C38" s="89"/>
      <c r="D38" s="89"/>
      <c r="E38" s="89" t="s">
        <v>183</v>
      </c>
      <c r="F38" s="72" t="s">
        <v>58</v>
      </c>
      <c r="G38" s="72"/>
      <c r="H38" s="90" t="s">
        <v>59</v>
      </c>
      <c r="I38" s="72" t="s">
        <v>60</v>
      </c>
      <c r="J38" s="72" t="s">
        <v>61</v>
      </c>
      <c r="K38" s="18"/>
    </row>
    <row r="39" spans="1:11" ht="51" customHeight="1">
      <c r="A39" s="89"/>
      <c r="B39" s="89"/>
      <c r="C39" s="89"/>
      <c r="D39" s="89"/>
      <c r="E39" s="89"/>
      <c r="F39" s="16" t="s">
        <v>62</v>
      </c>
      <c r="G39" s="11" t="s">
        <v>63</v>
      </c>
      <c r="H39" s="90"/>
      <c r="I39" s="72"/>
      <c r="J39" s="72"/>
      <c r="K39" s="18"/>
    </row>
    <row r="40" spans="1:10" s="21" customFormat="1" ht="12.75">
      <c r="A40" s="84" t="s">
        <v>38</v>
      </c>
      <c r="B40" s="84"/>
      <c r="C40" s="84"/>
      <c r="D40" s="84"/>
      <c r="E40" s="12"/>
      <c r="F40" s="19"/>
      <c r="G40" s="12"/>
      <c r="H40" s="34"/>
      <c r="I40" s="6"/>
      <c r="J40" s="20"/>
    </row>
    <row r="41" spans="1:10" s="21" customFormat="1" ht="12.75">
      <c r="A41" s="84" t="s">
        <v>64</v>
      </c>
      <c r="B41" s="84"/>
      <c r="C41" s="84"/>
      <c r="D41" s="84"/>
      <c r="E41" s="12"/>
      <c r="F41" s="19"/>
      <c r="G41" s="12"/>
      <c r="H41" s="24"/>
      <c r="I41" s="6"/>
      <c r="J41" s="20"/>
    </row>
    <row r="42" spans="1:11" s="21" customFormat="1" ht="12.75">
      <c r="A42" s="69" t="s">
        <v>65</v>
      </c>
      <c r="B42" s="69"/>
      <c r="C42" s="69"/>
      <c r="D42" s="69"/>
      <c r="E42" s="12" t="s">
        <v>66</v>
      </c>
      <c r="F42" s="19">
        <f>C13</f>
        <v>1238</v>
      </c>
      <c r="G42" s="6">
        <v>3</v>
      </c>
      <c r="H42" s="24">
        <v>0.012</v>
      </c>
      <c r="I42" s="22">
        <f>10299.67/21/8</f>
        <v>61.30755952380952</v>
      </c>
      <c r="J42" s="20">
        <f aca="true" t="shared" si="1" ref="J42:J47">F42*H42*I42*G42</f>
        <v>2732.355312857143</v>
      </c>
      <c r="K42" s="23"/>
    </row>
    <row r="43" spans="1:11" s="21" customFormat="1" ht="28.5" customHeight="1">
      <c r="A43" s="69" t="s">
        <v>67</v>
      </c>
      <c r="B43" s="69"/>
      <c r="C43" s="69"/>
      <c r="D43" s="69"/>
      <c r="E43" s="12" t="s">
        <v>66</v>
      </c>
      <c r="F43" s="19">
        <f>G8*4</f>
        <v>1571.6</v>
      </c>
      <c r="G43" s="6">
        <v>2</v>
      </c>
      <c r="H43" s="24">
        <v>0.012</v>
      </c>
      <c r="I43" s="22">
        <f aca="true" t="shared" si="2" ref="I43:I62">10299.67/21/8</f>
        <v>61.30755952380952</v>
      </c>
      <c r="J43" s="20">
        <f t="shared" si="1"/>
        <v>2312.423053142857</v>
      </c>
      <c r="K43" s="23"/>
    </row>
    <row r="44" spans="1:11" s="21" customFormat="1" ht="26.25" customHeight="1">
      <c r="A44" s="69" t="s">
        <v>184</v>
      </c>
      <c r="B44" s="69"/>
      <c r="C44" s="69"/>
      <c r="D44" s="69"/>
      <c r="E44" s="12" t="s">
        <v>66</v>
      </c>
      <c r="F44" s="19">
        <f>F3*2.5+F42</f>
        <v>1253</v>
      </c>
      <c r="G44" s="6">
        <v>4</v>
      </c>
      <c r="H44" s="24">
        <v>0.012</v>
      </c>
      <c r="I44" s="22">
        <f t="shared" si="2"/>
        <v>61.30755952380952</v>
      </c>
      <c r="J44" s="20">
        <f t="shared" si="1"/>
        <v>3687.28186</v>
      </c>
      <c r="K44" s="23"/>
    </row>
    <row r="45" spans="1:11" s="21" customFormat="1" ht="12.75" customHeight="1">
      <c r="A45" s="69" t="s">
        <v>68</v>
      </c>
      <c r="B45" s="69"/>
      <c r="C45" s="69"/>
      <c r="D45" s="69"/>
      <c r="E45" s="12" t="s">
        <v>66</v>
      </c>
      <c r="F45" s="19">
        <f>F44</f>
        <v>1253</v>
      </c>
      <c r="G45" s="6">
        <v>4</v>
      </c>
      <c r="H45" s="24">
        <v>0.03</v>
      </c>
      <c r="I45" s="22">
        <f t="shared" si="2"/>
        <v>61.30755952380952</v>
      </c>
      <c r="J45" s="20">
        <f t="shared" si="1"/>
        <v>9218.20465</v>
      </c>
      <c r="K45" s="23"/>
    </row>
    <row r="46" spans="1:11" s="21" customFormat="1" ht="12.75" customHeight="1">
      <c r="A46" s="69" t="s">
        <v>69</v>
      </c>
      <c r="B46" s="69"/>
      <c r="C46" s="69"/>
      <c r="D46" s="69"/>
      <c r="E46" s="12" t="s">
        <v>66</v>
      </c>
      <c r="F46" s="19">
        <f>C11+C12</f>
        <v>1235</v>
      </c>
      <c r="G46" s="6">
        <v>2</v>
      </c>
      <c r="H46" s="24">
        <v>0.012</v>
      </c>
      <c r="I46" s="22">
        <f t="shared" si="2"/>
        <v>61.30755952380952</v>
      </c>
      <c r="J46" s="20">
        <f t="shared" si="1"/>
        <v>1817.1560642857144</v>
      </c>
      <c r="K46" s="23"/>
    </row>
    <row r="47" spans="1:11" s="21" customFormat="1" ht="26.25" customHeight="1">
      <c r="A47" s="69" t="s">
        <v>70</v>
      </c>
      <c r="B47" s="69"/>
      <c r="C47" s="69"/>
      <c r="D47" s="69"/>
      <c r="E47" s="12" t="s">
        <v>66</v>
      </c>
      <c r="F47" s="19">
        <f>C8</f>
        <v>4522.6</v>
      </c>
      <c r="G47" s="6">
        <v>2</v>
      </c>
      <c r="H47" s="24">
        <v>0.024</v>
      </c>
      <c r="I47" s="22">
        <f t="shared" si="2"/>
        <v>61.30755952380952</v>
      </c>
      <c r="J47" s="20">
        <f t="shared" si="1"/>
        <v>13308.939297714287</v>
      </c>
      <c r="K47" s="23"/>
    </row>
    <row r="48" spans="1:11" s="21" customFormat="1" ht="12.75" customHeight="1">
      <c r="A48" s="87" t="s">
        <v>71</v>
      </c>
      <c r="B48" s="87"/>
      <c r="C48" s="87"/>
      <c r="D48" s="87"/>
      <c r="E48" s="12"/>
      <c r="F48" s="19"/>
      <c r="G48" s="6"/>
      <c r="H48" s="24"/>
      <c r="I48" s="22">
        <f t="shared" si="2"/>
        <v>61.30755952380952</v>
      </c>
      <c r="J48" s="20">
        <f>SUM(J42:J47)</f>
        <v>33076.360238</v>
      </c>
      <c r="K48" s="23"/>
    </row>
    <row r="49" spans="1:11" s="21" customFormat="1" ht="12.75" customHeight="1">
      <c r="A49" s="84" t="s">
        <v>72</v>
      </c>
      <c r="B49" s="84"/>
      <c r="C49" s="84"/>
      <c r="D49" s="84"/>
      <c r="E49" s="12"/>
      <c r="F49" s="19"/>
      <c r="G49" s="6"/>
      <c r="H49" s="24"/>
      <c r="I49" s="22">
        <f t="shared" si="2"/>
        <v>61.30755952380952</v>
      </c>
      <c r="J49" s="20"/>
      <c r="K49" s="23"/>
    </row>
    <row r="50" spans="1:11" s="21" customFormat="1" ht="39" customHeight="1">
      <c r="A50" s="69" t="s">
        <v>73</v>
      </c>
      <c r="B50" s="69"/>
      <c r="C50" s="69"/>
      <c r="D50" s="69"/>
      <c r="E50" s="12" t="s">
        <v>74</v>
      </c>
      <c r="F50" s="24">
        <f>C9/1000</f>
        <v>3.0235</v>
      </c>
      <c r="G50" s="6">
        <v>1</v>
      </c>
      <c r="H50" s="24">
        <v>10</v>
      </c>
      <c r="I50" s="22">
        <f t="shared" si="2"/>
        <v>61.30755952380952</v>
      </c>
      <c r="J50" s="20">
        <f aca="true" t="shared" si="3" ref="J50:J62">F50*H50*I50*G50</f>
        <v>1853.6340622023808</v>
      </c>
      <c r="K50" s="23"/>
    </row>
    <row r="51" spans="1:11" s="21" customFormat="1" ht="26.25" customHeight="1">
      <c r="A51" s="69" t="s">
        <v>75</v>
      </c>
      <c r="B51" s="69"/>
      <c r="C51" s="69"/>
      <c r="D51" s="69"/>
      <c r="E51" s="12" t="s">
        <v>185</v>
      </c>
      <c r="F51" s="24">
        <f>(C11+C12)/1000</f>
        <v>1.235</v>
      </c>
      <c r="G51" s="6">
        <v>5</v>
      </c>
      <c r="H51" s="24">
        <v>4</v>
      </c>
      <c r="I51" s="22">
        <f t="shared" si="2"/>
        <v>61.30755952380952</v>
      </c>
      <c r="J51" s="20">
        <f t="shared" si="3"/>
        <v>1514.2967202380953</v>
      </c>
      <c r="K51" s="23"/>
    </row>
    <row r="52" spans="1:11" s="21" customFormat="1" ht="26.25" customHeight="1">
      <c r="A52" s="69" t="s">
        <v>76</v>
      </c>
      <c r="B52" s="69"/>
      <c r="C52" s="69"/>
      <c r="D52" s="69"/>
      <c r="E52" s="12" t="s">
        <v>77</v>
      </c>
      <c r="F52" s="24">
        <f>F2*F3/100</f>
        <v>0.3</v>
      </c>
      <c r="G52" s="6">
        <v>2</v>
      </c>
      <c r="H52" s="24">
        <v>9</v>
      </c>
      <c r="I52" s="22">
        <f t="shared" si="2"/>
        <v>61.30755952380952</v>
      </c>
      <c r="J52" s="20">
        <f t="shared" si="3"/>
        <v>331.0608214285714</v>
      </c>
      <c r="K52" s="23"/>
    </row>
    <row r="53" spans="1:11" s="21" customFormat="1" ht="26.25" customHeight="1">
      <c r="A53" s="69" t="s">
        <v>78</v>
      </c>
      <c r="B53" s="69"/>
      <c r="C53" s="69"/>
      <c r="D53" s="69"/>
      <c r="E53" s="12" t="s">
        <v>79</v>
      </c>
      <c r="F53" s="19">
        <f>F3</f>
        <v>6</v>
      </c>
      <c r="G53" s="6">
        <v>2</v>
      </c>
      <c r="H53" s="24">
        <v>0.5</v>
      </c>
      <c r="I53" s="22">
        <f t="shared" si="2"/>
        <v>61.30755952380952</v>
      </c>
      <c r="J53" s="20">
        <f>F53*H53*I53*G53</f>
        <v>367.84535714285715</v>
      </c>
      <c r="K53" s="23"/>
    </row>
    <row r="54" spans="1:11" s="21" customFormat="1" ht="39.75" customHeight="1">
      <c r="A54" s="69" t="s">
        <v>80</v>
      </c>
      <c r="B54" s="69"/>
      <c r="C54" s="69"/>
      <c r="D54" s="69"/>
      <c r="E54" s="12" t="s">
        <v>81</v>
      </c>
      <c r="F54" s="24">
        <f>J3/100</f>
        <v>2.202</v>
      </c>
      <c r="G54" s="6">
        <v>1</v>
      </c>
      <c r="H54" s="24">
        <v>1.42</v>
      </c>
      <c r="I54" s="22">
        <f t="shared" si="2"/>
        <v>61.30755952380952</v>
      </c>
      <c r="J54" s="20">
        <f t="shared" si="3"/>
        <v>191.69892942142855</v>
      </c>
      <c r="K54" s="23"/>
    </row>
    <row r="55" spans="1:11" s="21" customFormat="1" ht="26.25" customHeight="1">
      <c r="A55" s="69" t="s">
        <v>82</v>
      </c>
      <c r="B55" s="69"/>
      <c r="C55" s="69"/>
      <c r="D55" s="69"/>
      <c r="E55" s="12" t="s">
        <v>81</v>
      </c>
      <c r="F55" s="48">
        <f>J3/100</f>
        <v>2.202</v>
      </c>
      <c r="G55" s="6">
        <v>1</v>
      </c>
      <c r="H55" s="24">
        <v>1.42</v>
      </c>
      <c r="I55" s="22">
        <f t="shared" si="2"/>
        <v>61.30755952380952</v>
      </c>
      <c r="J55" s="20">
        <f t="shared" si="3"/>
        <v>191.69892942142855</v>
      </c>
      <c r="K55" s="23"/>
    </row>
    <row r="56" spans="1:11" s="21" customFormat="1" ht="26.25" customHeight="1">
      <c r="A56" s="69" t="s">
        <v>83</v>
      </c>
      <c r="B56" s="69"/>
      <c r="C56" s="69"/>
      <c r="D56" s="69"/>
      <c r="E56" s="12" t="s">
        <v>81</v>
      </c>
      <c r="F56" s="48">
        <f>J3/100</f>
        <v>2.202</v>
      </c>
      <c r="G56" s="6">
        <v>2</v>
      </c>
      <c r="H56" s="24">
        <v>3.1</v>
      </c>
      <c r="I56" s="22">
        <f t="shared" si="2"/>
        <v>61.30755952380952</v>
      </c>
      <c r="J56" s="20">
        <f t="shared" si="3"/>
        <v>836.9953256428571</v>
      </c>
      <c r="K56" s="23"/>
    </row>
    <row r="57" spans="1:11" s="21" customFormat="1" ht="26.25" customHeight="1">
      <c r="A57" s="69" t="s">
        <v>84</v>
      </c>
      <c r="B57" s="69"/>
      <c r="C57" s="69"/>
      <c r="D57" s="69"/>
      <c r="E57" s="12" t="s">
        <v>85</v>
      </c>
      <c r="F57" s="48">
        <f>J3/100</f>
        <v>2.202</v>
      </c>
      <c r="G57" s="6">
        <v>2</v>
      </c>
      <c r="H57" s="24">
        <v>3.3</v>
      </c>
      <c r="I57" s="22">
        <f t="shared" si="2"/>
        <v>61.30755952380952</v>
      </c>
      <c r="J57" s="20">
        <f t="shared" si="3"/>
        <v>890.9950240714285</v>
      </c>
      <c r="K57" s="23"/>
    </row>
    <row r="58" spans="1:11" s="21" customFormat="1" ht="26.25" customHeight="1">
      <c r="A58" s="69" t="s">
        <v>86</v>
      </c>
      <c r="B58" s="69"/>
      <c r="C58" s="69"/>
      <c r="D58" s="69"/>
      <c r="E58" s="12" t="s">
        <v>185</v>
      </c>
      <c r="F58" s="48">
        <f>(C8-C9)/1000</f>
        <v>1.4991000000000003</v>
      </c>
      <c r="G58" s="6">
        <v>1</v>
      </c>
      <c r="H58" s="24">
        <v>4</v>
      </c>
      <c r="I58" s="22">
        <f t="shared" si="2"/>
        <v>61.30755952380952</v>
      </c>
      <c r="J58" s="20">
        <f t="shared" si="3"/>
        <v>367.6246499285715</v>
      </c>
      <c r="K58" s="23"/>
    </row>
    <row r="59" spans="1:11" s="21" customFormat="1" ht="41.25" customHeight="1">
      <c r="A59" s="86" t="s">
        <v>87</v>
      </c>
      <c r="B59" s="86"/>
      <c r="C59" s="86"/>
      <c r="D59" s="86"/>
      <c r="E59" s="12" t="s">
        <v>88</v>
      </c>
      <c r="F59" s="47">
        <v>294.5</v>
      </c>
      <c r="G59" s="6">
        <v>1</v>
      </c>
      <c r="H59" s="24">
        <v>0.87</v>
      </c>
      <c r="I59" s="22">
        <f t="shared" si="2"/>
        <v>61.30755952380952</v>
      </c>
      <c r="J59" s="20">
        <f t="shared" si="3"/>
        <v>15707.916363392855</v>
      </c>
      <c r="K59" s="23"/>
    </row>
    <row r="60" spans="1:11" s="21" customFormat="1" ht="26.25" customHeight="1">
      <c r="A60" s="69" t="s">
        <v>89</v>
      </c>
      <c r="B60" s="69"/>
      <c r="C60" s="69"/>
      <c r="D60" s="69"/>
      <c r="E60" s="12" t="s">
        <v>85</v>
      </c>
      <c r="F60" s="24">
        <f>J3/100</f>
        <v>2.202</v>
      </c>
      <c r="G60" s="6">
        <v>1</v>
      </c>
      <c r="H60" s="24">
        <v>3.3</v>
      </c>
      <c r="I60" s="22">
        <f t="shared" si="2"/>
        <v>61.30755952380952</v>
      </c>
      <c r="J60" s="20">
        <f t="shared" si="3"/>
        <v>445.49751203571424</v>
      </c>
      <c r="K60" s="23"/>
    </row>
    <row r="61" spans="1:11" s="21" customFormat="1" ht="26.25" customHeight="1">
      <c r="A61" s="69" t="s">
        <v>90</v>
      </c>
      <c r="B61" s="69"/>
      <c r="C61" s="69"/>
      <c r="D61" s="69"/>
      <c r="E61" s="12" t="s">
        <v>91</v>
      </c>
      <c r="F61" s="19">
        <f>F3</f>
        <v>6</v>
      </c>
      <c r="G61" s="6">
        <v>1</v>
      </c>
      <c r="H61" s="24">
        <v>0.56</v>
      </c>
      <c r="I61" s="22">
        <f t="shared" si="2"/>
        <v>61.30755952380952</v>
      </c>
      <c r="J61" s="20">
        <f t="shared" si="3"/>
        <v>205.9934</v>
      </c>
      <c r="K61" s="23"/>
    </row>
    <row r="62" spans="1:11" s="21" customFormat="1" ht="50.25" customHeight="1">
      <c r="A62" s="69" t="s">
        <v>186</v>
      </c>
      <c r="B62" s="69"/>
      <c r="C62" s="69"/>
      <c r="D62" s="69"/>
      <c r="E62" s="12" t="s">
        <v>74</v>
      </c>
      <c r="F62" s="24">
        <f>C9/1000</f>
        <v>3.0235</v>
      </c>
      <c r="G62" s="6">
        <v>1</v>
      </c>
      <c r="H62" s="24">
        <v>10</v>
      </c>
      <c r="I62" s="22">
        <f t="shared" si="2"/>
        <v>61.30755952380952</v>
      </c>
      <c r="J62" s="20">
        <f t="shared" si="3"/>
        <v>1853.6340622023808</v>
      </c>
      <c r="K62" s="23"/>
    </row>
    <row r="63" spans="1:11" s="21" customFormat="1" ht="12.75" customHeight="1">
      <c r="A63" s="69" t="s">
        <v>71</v>
      </c>
      <c r="B63" s="69"/>
      <c r="C63" s="69"/>
      <c r="D63" s="69"/>
      <c r="E63" s="12"/>
      <c r="F63" s="19"/>
      <c r="G63" s="6"/>
      <c r="H63" s="24"/>
      <c r="I63" s="6"/>
      <c r="J63" s="20">
        <f>SUM(J50:J62)</f>
        <v>24758.89115712857</v>
      </c>
      <c r="K63" s="23"/>
    </row>
    <row r="64" spans="1:11" s="21" customFormat="1" ht="12.75" customHeight="1">
      <c r="A64" s="84" t="s">
        <v>92</v>
      </c>
      <c r="B64" s="84"/>
      <c r="C64" s="84"/>
      <c r="D64" s="84"/>
      <c r="E64" s="12"/>
      <c r="F64" s="19"/>
      <c r="G64" s="6"/>
      <c r="H64" s="24"/>
      <c r="I64" s="6"/>
      <c r="J64" s="20"/>
      <c r="K64" s="23"/>
    </row>
    <row r="65" spans="1:11" s="21" customFormat="1" ht="39" customHeight="1">
      <c r="A65" s="69" t="s">
        <v>134</v>
      </c>
      <c r="B65" s="69"/>
      <c r="C65" s="69"/>
      <c r="D65" s="69"/>
      <c r="E65" s="12" t="s">
        <v>66</v>
      </c>
      <c r="F65" s="24">
        <f>G8/F2*3</f>
        <v>235.74</v>
      </c>
      <c r="G65" s="6">
        <v>365</v>
      </c>
      <c r="H65" s="24">
        <f>0.81/60</f>
        <v>0.013500000000000002</v>
      </c>
      <c r="I65" s="24">
        <f>4914.48/21/8</f>
        <v>29.252857142857142</v>
      </c>
      <c r="J65" s="20">
        <f aca="true" t="shared" si="4" ref="J65:J76">F65*H65*I65*G65</f>
        <v>33980.37774492858</v>
      </c>
      <c r="K65" s="23"/>
    </row>
    <row r="66" spans="1:11" s="21" customFormat="1" ht="39" customHeight="1">
      <c r="A66" s="69" t="s">
        <v>135</v>
      </c>
      <c r="B66" s="69"/>
      <c r="C66" s="69"/>
      <c r="D66" s="69"/>
      <c r="E66" s="12" t="s">
        <v>66</v>
      </c>
      <c r="F66" s="24">
        <f>G8/F2*(F2-3)</f>
        <v>157.16</v>
      </c>
      <c r="G66" s="6">
        <v>104</v>
      </c>
      <c r="H66" s="24">
        <f>0.71/60</f>
        <v>0.011833333333333333</v>
      </c>
      <c r="I66" s="24">
        <f aca="true" t="shared" si="5" ref="I66:I77">4914.48/21/8</f>
        <v>29.252857142857142</v>
      </c>
      <c r="J66" s="20">
        <f t="shared" si="4"/>
        <v>5657.841124495238</v>
      </c>
      <c r="K66" s="23"/>
    </row>
    <row r="67" spans="1:11" s="21" customFormat="1" ht="26.25" customHeight="1">
      <c r="A67" s="69" t="s">
        <v>136</v>
      </c>
      <c r="B67" s="69"/>
      <c r="C67" s="69"/>
      <c r="D67" s="69"/>
      <c r="E67" s="12" t="s">
        <v>66</v>
      </c>
      <c r="F67" s="24">
        <f>G8/F2*3</f>
        <v>235.74</v>
      </c>
      <c r="G67" s="6">
        <v>24</v>
      </c>
      <c r="H67" s="24">
        <f>1.07/60</f>
        <v>0.017833333333333333</v>
      </c>
      <c r="I67" s="24">
        <f t="shared" si="5"/>
        <v>29.252857142857142</v>
      </c>
      <c r="J67" s="20">
        <f t="shared" si="4"/>
        <v>2951.517336342857</v>
      </c>
      <c r="K67" s="23"/>
    </row>
    <row r="68" spans="1:11" s="21" customFormat="1" ht="26.25" customHeight="1">
      <c r="A68" s="69" t="s">
        <v>137</v>
      </c>
      <c r="B68" s="69"/>
      <c r="C68" s="69"/>
      <c r="D68" s="69"/>
      <c r="E68" s="12" t="s">
        <v>66</v>
      </c>
      <c r="F68" s="24">
        <f>G8/F2*(F2-3)</f>
        <v>157.16</v>
      </c>
      <c r="G68" s="6">
        <v>24</v>
      </c>
      <c r="H68" s="24">
        <f>0.82/60</f>
        <v>0.013666666666666666</v>
      </c>
      <c r="I68" s="24">
        <f t="shared" si="5"/>
        <v>29.252857142857142</v>
      </c>
      <c r="J68" s="20">
        <f t="shared" si="4"/>
        <v>1507.9403213714281</v>
      </c>
      <c r="K68" s="23"/>
    </row>
    <row r="69" spans="1:11" s="21" customFormat="1" ht="12.75" customHeight="1">
      <c r="A69" s="69" t="s">
        <v>93</v>
      </c>
      <c r="B69" s="69"/>
      <c r="C69" s="69"/>
      <c r="D69" s="69"/>
      <c r="E69" s="12" t="s">
        <v>66</v>
      </c>
      <c r="F69" s="19">
        <f>F2*F3*1.5*2</f>
        <v>90</v>
      </c>
      <c r="G69" s="25">
        <v>2</v>
      </c>
      <c r="H69" s="22">
        <f>3.8/60</f>
        <v>0.06333333333333332</v>
      </c>
      <c r="I69" s="24">
        <f t="shared" si="5"/>
        <v>29.252857142857142</v>
      </c>
      <c r="J69" s="20">
        <f t="shared" si="4"/>
        <v>333.48257142857136</v>
      </c>
      <c r="K69" s="23"/>
    </row>
    <row r="70" spans="1:10" s="21" customFormat="1" ht="12.75" customHeight="1">
      <c r="A70" s="85" t="s">
        <v>94</v>
      </c>
      <c r="B70" s="85"/>
      <c r="C70" s="85"/>
      <c r="D70" s="85"/>
      <c r="E70" s="26" t="s">
        <v>66</v>
      </c>
      <c r="F70" s="27">
        <f>G9</f>
        <v>1596</v>
      </c>
      <c r="G70" s="25">
        <v>2</v>
      </c>
      <c r="H70" s="22">
        <f>0.91/60</f>
        <v>0.015166666666666667</v>
      </c>
      <c r="I70" s="24">
        <f t="shared" si="5"/>
        <v>29.252857142857142</v>
      </c>
      <c r="J70" s="20">
        <f>F70*H70*I70*G70</f>
        <v>1416.18932</v>
      </c>
    </row>
    <row r="71" spans="1:11" s="21" customFormat="1" ht="26.25" customHeight="1">
      <c r="A71" s="69" t="s">
        <v>95</v>
      </c>
      <c r="B71" s="69"/>
      <c r="C71" s="69"/>
      <c r="D71" s="69"/>
      <c r="E71" s="12" t="s">
        <v>66</v>
      </c>
      <c r="F71" s="19">
        <f>G10</f>
        <v>466</v>
      </c>
      <c r="G71" s="6">
        <v>91</v>
      </c>
      <c r="H71" s="24">
        <f>0.14/60</f>
        <v>0.0023333333333333335</v>
      </c>
      <c r="I71" s="24">
        <f t="shared" si="5"/>
        <v>29.252857142857142</v>
      </c>
      <c r="J71" s="20">
        <f t="shared" si="4"/>
        <v>2894.492206666667</v>
      </c>
      <c r="K71" s="23"/>
    </row>
    <row r="72" spans="1:11" s="21" customFormat="1" ht="12.75" customHeight="1">
      <c r="A72" s="69" t="s">
        <v>96</v>
      </c>
      <c r="B72" s="69"/>
      <c r="C72" s="69"/>
      <c r="D72" s="69"/>
      <c r="E72" s="12" t="s">
        <v>66</v>
      </c>
      <c r="F72" s="19">
        <f>G10</f>
        <v>466</v>
      </c>
      <c r="G72" s="6">
        <v>91</v>
      </c>
      <c r="H72" s="24">
        <f>0.13/60</f>
        <v>0.0021666666666666666</v>
      </c>
      <c r="I72" s="24">
        <f t="shared" si="5"/>
        <v>29.252857142857142</v>
      </c>
      <c r="J72" s="20">
        <f t="shared" si="4"/>
        <v>2687.7427633333336</v>
      </c>
      <c r="K72" s="23"/>
    </row>
    <row r="73" spans="1:11" s="21" customFormat="1" ht="26.25" customHeight="1">
      <c r="A73" s="69" t="s">
        <v>125</v>
      </c>
      <c r="B73" s="69"/>
      <c r="C73" s="69"/>
      <c r="D73" s="69"/>
      <c r="E73" s="12" t="s">
        <v>66</v>
      </c>
      <c r="F73" s="19">
        <f>G10</f>
        <v>466</v>
      </c>
      <c r="G73" s="6">
        <v>365</v>
      </c>
      <c r="H73" s="24">
        <f>0.08/60</f>
        <v>0.0013333333333333333</v>
      </c>
      <c r="I73" s="24">
        <f t="shared" si="5"/>
        <v>29.252857142857142</v>
      </c>
      <c r="J73" s="20">
        <f t="shared" si="4"/>
        <v>6634.157961904762</v>
      </c>
      <c r="K73" s="23"/>
    </row>
    <row r="74" spans="1:11" s="21" customFormat="1" ht="12.75" customHeight="1">
      <c r="A74" s="69" t="s">
        <v>97</v>
      </c>
      <c r="B74" s="69"/>
      <c r="C74" s="69"/>
      <c r="D74" s="69"/>
      <c r="E74" s="12" t="s">
        <v>66</v>
      </c>
      <c r="F74" s="46">
        <v>10</v>
      </c>
      <c r="G74" s="6">
        <v>365</v>
      </c>
      <c r="H74" s="24">
        <f>1.46/60</f>
        <v>0.024333333333333332</v>
      </c>
      <c r="I74" s="24">
        <f t="shared" si="5"/>
        <v>29.252857142857142</v>
      </c>
      <c r="J74" s="20">
        <f t="shared" si="4"/>
        <v>2598.141261904762</v>
      </c>
      <c r="K74" s="23"/>
    </row>
    <row r="75" spans="1:11" s="21" customFormat="1" ht="12.75" customHeight="1">
      <c r="A75" s="69" t="s">
        <v>98</v>
      </c>
      <c r="B75" s="69"/>
      <c r="C75" s="69"/>
      <c r="D75" s="69"/>
      <c r="E75" s="12" t="s">
        <v>99</v>
      </c>
      <c r="F75" s="19">
        <f>F3</f>
        <v>6</v>
      </c>
      <c r="G75" s="6">
        <v>365</v>
      </c>
      <c r="H75" s="24">
        <f>2.34/60</f>
        <v>0.039</v>
      </c>
      <c r="I75" s="24">
        <f t="shared" si="5"/>
        <v>29.252857142857142</v>
      </c>
      <c r="J75" s="20">
        <f t="shared" si="4"/>
        <v>2498.486528571428</v>
      </c>
      <c r="K75" s="23"/>
    </row>
    <row r="76" spans="1:11" s="21" customFormat="1" ht="12.75" customHeight="1">
      <c r="A76" s="69" t="s">
        <v>100</v>
      </c>
      <c r="B76" s="69"/>
      <c r="C76" s="69"/>
      <c r="D76" s="69"/>
      <c r="E76" s="12" t="s">
        <v>66</v>
      </c>
      <c r="F76" s="19">
        <f>G12</f>
        <v>2576</v>
      </c>
      <c r="G76" s="6">
        <v>182</v>
      </c>
      <c r="H76" s="24">
        <f>0.077/60</f>
        <v>0.0012833333333333334</v>
      </c>
      <c r="I76" s="24">
        <f t="shared" si="5"/>
        <v>29.252857142857142</v>
      </c>
      <c r="J76" s="20">
        <f t="shared" si="4"/>
        <v>17600.500250666668</v>
      </c>
      <c r="K76" s="23"/>
    </row>
    <row r="77" spans="1:11" s="21" customFormat="1" ht="12.75" customHeight="1">
      <c r="A77" s="69" t="s">
        <v>71</v>
      </c>
      <c r="B77" s="69"/>
      <c r="C77" s="69"/>
      <c r="D77" s="69"/>
      <c r="E77" s="12"/>
      <c r="F77" s="19"/>
      <c r="G77" s="6"/>
      <c r="H77" s="24"/>
      <c r="I77" s="24">
        <f t="shared" si="5"/>
        <v>29.252857142857142</v>
      </c>
      <c r="J77" s="20">
        <f>SUM(J65:J76)</f>
        <v>80760.86939161428</v>
      </c>
      <c r="K77" s="23"/>
    </row>
    <row r="78" spans="1:11" s="21" customFormat="1" ht="12.75">
      <c r="A78" s="84" t="s">
        <v>101</v>
      </c>
      <c r="B78" s="84"/>
      <c r="C78" s="84"/>
      <c r="D78" s="84"/>
      <c r="E78" s="12"/>
      <c r="F78" s="19"/>
      <c r="G78" s="12"/>
      <c r="H78" s="34"/>
      <c r="I78" s="6"/>
      <c r="J78" s="20"/>
      <c r="K78" s="23"/>
    </row>
    <row r="79" spans="1:11" s="21" customFormat="1" ht="12.75">
      <c r="A79" s="69" t="s">
        <v>102</v>
      </c>
      <c r="B79" s="69"/>
      <c r="C79" s="69"/>
      <c r="D79" s="69"/>
      <c r="E79" s="72"/>
      <c r="F79" s="72"/>
      <c r="G79" s="72"/>
      <c r="H79" s="72"/>
      <c r="I79" s="6"/>
      <c r="J79" s="20">
        <f>300079.59/216035.97*C8*0.4</f>
        <v>2512.8036849308014</v>
      </c>
      <c r="K79" s="23"/>
    </row>
    <row r="80" spans="1:11" s="21" customFormat="1" ht="12.75">
      <c r="A80" s="69" t="s">
        <v>103</v>
      </c>
      <c r="B80" s="69"/>
      <c r="C80" s="69"/>
      <c r="D80" s="69"/>
      <c r="E80" s="72"/>
      <c r="F80" s="72"/>
      <c r="G80" s="72"/>
      <c r="H80" s="72"/>
      <c r="I80" s="6"/>
      <c r="J80" s="20">
        <f>300079.59/216035.97*C8*0.6</f>
        <v>3769.205527396202</v>
      </c>
      <c r="K80" s="23"/>
    </row>
    <row r="81" spans="1:11" s="21" customFormat="1" ht="12.75">
      <c r="A81" s="79" t="s">
        <v>119</v>
      </c>
      <c r="B81" s="80"/>
      <c r="C81" s="80"/>
      <c r="D81" s="81"/>
      <c r="E81" s="82"/>
      <c r="F81" s="83"/>
      <c r="G81" s="83"/>
      <c r="H81" s="74"/>
      <c r="I81" s="37"/>
      <c r="J81" s="20">
        <f>1991260.56/216035.97*C8</f>
        <v>41685.99797828112</v>
      </c>
      <c r="K81" s="23"/>
    </row>
    <row r="82" spans="1:11" s="21" customFormat="1" ht="12.75">
      <c r="A82" s="69" t="s">
        <v>104</v>
      </c>
      <c r="B82" s="69"/>
      <c r="C82" s="69"/>
      <c r="D82" s="69"/>
      <c r="E82" s="72" t="s">
        <v>105</v>
      </c>
      <c r="F82" s="72"/>
      <c r="G82" s="72"/>
      <c r="H82" s="72"/>
      <c r="I82" s="6"/>
      <c r="J82" s="36">
        <f>1478082.24/216035.97*C8</f>
        <v>30942.8783485639</v>
      </c>
      <c r="K82" s="23"/>
    </row>
    <row r="83" spans="1:11" s="21" customFormat="1" ht="12.75">
      <c r="A83" s="69" t="s">
        <v>106</v>
      </c>
      <c r="B83" s="69"/>
      <c r="C83" s="69"/>
      <c r="D83" s="69"/>
      <c r="E83" s="72" t="s">
        <v>105</v>
      </c>
      <c r="F83" s="72"/>
      <c r="G83" s="72"/>
      <c r="H83" s="72"/>
      <c r="I83" s="6"/>
      <c r="J83" s="20">
        <f>3148900/216035.97*C8</f>
        <v>65920.57396738145</v>
      </c>
      <c r="K83" s="23"/>
    </row>
    <row r="84" spans="1:11" s="21" customFormat="1" ht="12.75">
      <c r="A84" s="69" t="s">
        <v>107</v>
      </c>
      <c r="B84" s="69"/>
      <c r="C84" s="69"/>
      <c r="D84" s="69"/>
      <c r="E84" s="72" t="s">
        <v>108</v>
      </c>
      <c r="F84" s="72"/>
      <c r="G84" s="72"/>
      <c r="H84" s="72"/>
      <c r="I84" s="6"/>
      <c r="J84" s="20">
        <f>(111173.4)/216035.97*C8</f>
        <v>2327.356962083675</v>
      </c>
      <c r="K84" s="23"/>
    </row>
    <row r="85" spans="1:11" s="21" customFormat="1" ht="12.75">
      <c r="A85" s="69" t="s">
        <v>187</v>
      </c>
      <c r="B85" s="69"/>
      <c r="C85" s="69"/>
      <c r="D85" s="69"/>
      <c r="E85" s="72" t="s">
        <v>109</v>
      </c>
      <c r="F85" s="72"/>
      <c r="G85" s="72"/>
      <c r="H85" s="72"/>
      <c r="I85" s="6"/>
      <c r="J85" s="20">
        <f>198400.51/216035.97*C8</f>
        <v>4153.410871930263</v>
      </c>
      <c r="K85" s="23"/>
    </row>
    <row r="86" spans="1:11" s="21" customFormat="1" ht="12.75">
      <c r="A86" s="69" t="s">
        <v>110</v>
      </c>
      <c r="B86" s="69"/>
      <c r="C86" s="69"/>
      <c r="D86" s="69"/>
      <c r="E86" s="72" t="s">
        <v>105</v>
      </c>
      <c r="F86" s="72"/>
      <c r="G86" s="72"/>
      <c r="H86" s="72"/>
      <c r="I86" s="6"/>
      <c r="J86" s="49">
        <f>6255875.28/216035.97*C8</f>
        <v>130963.47585695106</v>
      </c>
      <c r="K86" s="23"/>
    </row>
    <row r="87" spans="1:11" s="21" customFormat="1" ht="12.75">
      <c r="A87" s="69" t="s">
        <v>111</v>
      </c>
      <c r="B87" s="69"/>
      <c r="C87" s="69"/>
      <c r="D87" s="69"/>
      <c r="E87" s="72" t="s">
        <v>105</v>
      </c>
      <c r="F87" s="72"/>
      <c r="G87" s="72"/>
      <c r="H87" s="72"/>
      <c r="I87" s="6"/>
      <c r="J87" s="49">
        <f>574141.03/216035.97*C8</f>
        <v>12019.342067332585</v>
      </c>
      <c r="K87" s="23"/>
    </row>
    <row r="88" spans="1:11" s="21" customFormat="1" ht="12.75">
      <c r="A88" s="69" t="s">
        <v>112</v>
      </c>
      <c r="B88" s="69"/>
      <c r="C88" s="69"/>
      <c r="D88" s="69"/>
      <c r="E88" s="72"/>
      <c r="F88" s="72"/>
      <c r="G88" s="72"/>
      <c r="H88" s="72"/>
      <c r="I88" s="6"/>
      <c r="J88" s="49">
        <f>7623081.82/216035.97*C8</f>
        <v>159585.22943717198</v>
      </c>
      <c r="K88" s="23"/>
    </row>
    <row r="89" spans="1:11" s="21" customFormat="1" ht="12.75">
      <c r="A89" s="69" t="s">
        <v>113</v>
      </c>
      <c r="B89" s="69"/>
      <c r="C89" s="69"/>
      <c r="D89" s="69"/>
      <c r="E89" s="11"/>
      <c r="F89" s="11"/>
      <c r="G89" s="11"/>
      <c r="H89" s="32"/>
      <c r="I89" s="11"/>
      <c r="J89" s="36">
        <f>5899496.16/216035.97*C8</f>
        <v>123502.86544049124</v>
      </c>
      <c r="K89" s="23"/>
    </row>
    <row r="90" spans="1:11" s="21" customFormat="1" ht="12.75">
      <c r="A90" s="69" t="s">
        <v>71</v>
      </c>
      <c r="B90" s="69"/>
      <c r="C90" s="69"/>
      <c r="D90" s="69"/>
      <c r="E90" s="12"/>
      <c r="F90" s="12"/>
      <c r="G90" s="12"/>
      <c r="H90" s="34"/>
      <c r="I90" s="6"/>
      <c r="J90" s="20">
        <f>SUM(J79:J89)</f>
        <v>577383.1401425143</v>
      </c>
      <c r="K90" s="23"/>
    </row>
    <row r="91" spans="1:11" s="21" customFormat="1" ht="12.75" customHeight="1">
      <c r="A91" s="69" t="s">
        <v>114</v>
      </c>
      <c r="B91" s="69"/>
      <c r="C91" s="69"/>
      <c r="D91" s="69"/>
      <c r="E91" s="12"/>
      <c r="F91" s="19"/>
      <c r="G91" s="12"/>
      <c r="H91" s="34"/>
      <c r="I91" s="6"/>
      <c r="J91" s="20">
        <f>J48+J63+J77+J90</f>
        <v>715979.2609292571</v>
      </c>
      <c r="K91" s="23"/>
    </row>
    <row r="92" spans="1:11" ht="12.75">
      <c r="A92" s="68" t="s">
        <v>115</v>
      </c>
      <c r="B92" s="68"/>
      <c r="C92" s="68"/>
      <c r="D92" s="68"/>
      <c r="E92" s="68"/>
      <c r="F92" s="68"/>
      <c r="G92" s="68"/>
      <c r="H92" s="68"/>
      <c r="I92" s="68"/>
      <c r="J92" s="28">
        <f>J91*0.05</f>
        <v>35798.96304646286</v>
      </c>
      <c r="K92" s="23"/>
    </row>
    <row r="93" spans="1:11" ht="12.75">
      <c r="A93" s="68" t="s">
        <v>116</v>
      </c>
      <c r="B93" s="68"/>
      <c r="C93" s="68"/>
      <c r="D93" s="68"/>
      <c r="E93" s="68"/>
      <c r="F93" s="68"/>
      <c r="G93" s="68"/>
      <c r="H93" s="68"/>
      <c r="I93" s="68"/>
      <c r="J93" s="13">
        <f>J91+J92</f>
        <v>751778.22397572</v>
      </c>
      <c r="K93" s="23"/>
    </row>
    <row r="94" spans="1:11" ht="12.75">
      <c r="A94" s="68" t="s">
        <v>117</v>
      </c>
      <c r="B94" s="68"/>
      <c r="C94" s="68"/>
      <c r="D94" s="68"/>
      <c r="E94" s="68"/>
      <c r="F94" s="68"/>
      <c r="G94" s="68"/>
      <c r="H94" s="68"/>
      <c r="I94" s="68"/>
      <c r="J94" s="28">
        <f>J93*0.18</f>
        <v>135320.0803156296</v>
      </c>
      <c r="K94" s="23"/>
    </row>
    <row r="95" spans="1:11" ht="12.75">
      <c r="A95" s="68" t="s">
        <v>118</v>
      </c>
      <c r="B95" s="68"/>
      <c r="C95" s="68"/>
      <c r="D95" s="68"/>
      <c r="E95" s="68"/>
      <c r="F95" s="68"/>
      <c r="G95" s="68"/>
      <c r="H95" s="68"/>
      <c r="I95" s="68"/>
      <c r="J95" s="29">
        <f>J94+J93</f>
        <v>887098.3042913496</v>
      </c>
      <c r="K95" s="30"/>
    </row>
    <row r="96" spans="1:11" ht="12.75">
      <c r="A96" s="38"/>
      <c r="B96" s="38"/>
      <c r="C96" s="38"/>
      <c r="D96" s="38"/>
      <c r="E96" s="38"/>
      <c r="F96" s="38"/>
      <c r="G96" s="38"/>
      <c r="H96" s="38"/>
      <c r="I96" s="38"/>
      <c r="J96" s="39"/>
      <c r="K96" s="30"/>
    </row>
    <row r="97" spans="1:11" ht="15">
      <c r="A97" s="42" t="s">
        <v>126</v>
      </c>
      <c r="B97" s="40"/>
      <c r="C97" s="40"/>
      <c r="D97" s="40"/>
      <c r="E97" s="40"/>
      <c r="F97" s="40"/>
      <c r="G97" s="40"/>
      <c r="H97" s="41"/>
      <c r="I97" s="38"/>
      <c r="J97" s="39"/>
      <c r="K97" s="30"/>
    </row>
    <row r="98" spans="1:11" ht="38.25" customHeight="1">
      <c r="A98" s="66" t="s">
        <v>191</v>
      </c>
      <c r="B98" s="67"/>
      <c r="C98" s="66" t="s">
        <v>190</v>
      </c>
      <c r="D98" s="67"/>
      <c r="E98" s="66" t="s">
        <v>127</v>
      </c>
      <c r="F98" s="67"/>
      <c r="G98" s="66" t="s">
        <v>128</v>
      </c>
      <c r="H98" s="67"/>
      <c r="I98" s="38"/>
      <c r="J98" s="39"/>
      <c r="K98" s="30"/>
    </row>
    <row r="99" spans="1:11" ht="12.75">
      <c r="A99" s="70">
        <f>22216.9+24147.99+32739.29+39153.53+40449.09</f>
        <v>158706.8</v>
      </c>
      <c r="B99" s="71"/>
      <c r="C99" s="75">
        <f>4455.69+4455.69+4455.69+4513.28+4552.41+4552.41+4797.55+4851.53+4853.99+4881.94+4867.97+4918.38</f>
        <v>56156.53</v>
      </c>
      <c r="D99" s="76"/>
      <c r="E99" s="77"/>
      <c r="F99" s="76"/>
      <c r="G99" s="77">
        <f>C99+A99</f>
        <v>214863.33</v>
      </c>
      <c r="H99" s="78"/>
      <c r="I99" s="38"/>
      <c r="J99" s="39"/>
      <c r="K99" s="30"/>
    </row>
    <row r="100" spans="1:11" ht="12.75">
      <c r="A100" s="38"/>
      <c r="B100" s="38"/>
      <c r="C100" s="38"/>
      <c r="D100" s="38"/>
      <c r="E100" s="38"/>
      <c r="F100" s="38"/>
      <c r="G100" s="38"/>
      <c r="H100" s="38"/>
      <c r="I100" s="38"/>
      <c r="J100" s="39"/>
      <c r="K100" s="30"/>
    </row>
    <row r="101" spans="1:11" ht="15">
      <c r="A101" s="42" t="s">
        <v>129</v>
      </c>
      <c r="B101" s="43"/>
      <c r="C101" s="43"/>
      <c r="D101" s="40"/>
      <c r="E101" s="40"/>
      <c r="F101" s="40"/>
      <c r="G101" s="40"/>
      <c r="H101" s="41"/>
      <c r="I101" s="38"/>
      <c r="J101" s="39"/>
      <c r="K101" s="30"/>
    </row>
    <row r="102" spans="1:11" ht="27" customHeight="1">
      <c r="A102" s="66" t="s">
        <v>130</v>
      </c>
      <c r="B102" s="67"/>
      <c r="C102" s="66" t="s">
        <v>131</v>
      </c>
      <c r="D102" s="67"/>
      <c r="E102" s="65" t="s">
        <v>132</v>
      </c>
      <c r="F102" s="65"/>
      <c r="G102" s="73"/>
      <c r="H102" s="73"/>
      <c r="I102" s="38"/>
      <c r="J102" s="39"/>
      <c r="K102" s="30"/>
    </row>
    <row r="103" spans="1:11" s="64" customFormat="1" ht="27" customHeight="1">
      <c r="A103" s="118"/>
      <c r="B103" s="119"/>
      <c r="C103" s="120"/>
      <c r="D103" s="121"/>
      <c r="E103" s="122"/>
      <c r="F103" s="123"/>
      <c r="G103" s="124"/>
      <c r="H103" s="124"/>
      <c r="I103" s="125"/>
      <c r="J103" s="126"/>
      <c r="K103" s="127"/>
    </row>
    <row r="104" spans="1:11" s="64" customFormat="1" ht="12.75">
      <c r="A104" s="125"/>
      <c r="B104" s="125"/>
      <c r="C104" s="125"/>
      <c r="D104" s="125"/>
      <c r="E104" s="125"/>
      <c r="F104" s="125"/>
      <c r="G104" s="125"/>
      <c r="H104" s="125"/>
      <c r="I104" s="125"/>
      <c r="J104" s="126"/>
      <c r="K104" s="127"/>
    </row>
    <row r="105" spans="1:11" s="64" customFormat="1" ht="12.75">
      <c r="A105" s="128" t="s">
        <v>124</v>
      </c>
      <c r="B105" s="128"/>
      <c r="C105" s="128"/>
      <c r="D105" s="128"/>
      <c r="E105" s="128"/>
      <c r="F105" s="125"/>
      <c r="G105" s="125"/>
      <c r="H105" s="125"/>
      <c r="I105" s="125"/>
      <c r="J105" s="126"/>
      <c r="K105" s="127"/>
    </row>
    <row r="106" spans="1:11" s="64" customFormat="1" ht="12.75">
      <c r="A106" s="128"/>
      <c r="B106" s="128"/>
      <c r="C106" s="128"/>
      <c r="D106" s="128"/>
      <c r="E106" s="128"/>
      <c r="F106" s="125"/>
      <c r="G106" s="125"/>
      <c r="H106" s="125"/>
      <c r="I106" s="125"/>
      <c r="J106" s="126"/>
      <c r="K106" s="127"/>
    </row>
    <row r="107" spans="1:11" s="64" customFormat="1" ht="12.75">
      <c r="A107" s="125"/>
      <c r="B107" s="125"/>
      <c r="C107" s="125"/>
      <c r="D107" s="125"/>
      <c r="E107" s="125"/>
      <c r="F107" s="125"/>
      <c r="G107" s="125"/>
      <c r="H107" s="125"/>
      <c r="I107" s="125"/>
      <c r="J107" s="126"/>
      <c r="K107" s="127"/>
    </row>
    <row r="108" spans="1:11" s="64" customFormat="1" ht="12.75">
      <c r="A108" s="129" t="s">
        <v>57</v>
      </c>
      <c r="B108" s="130"/>
      <c r="C108" s="131"/>
      <c r="D108" s="132"/>
      <c r="E108" s="133" t="s">
        <v>120</v>
      </c>
      <c r="F108" s="133" t="s">
        <v>121</v>
      </c>
      <c r="G108" s="133" t="s">
        <v>122</v>
      </c>
      <c r="H108" s="50" t="s">
        <v>123</v>
      </c>
      <c r="I108" s="125"/>
      <c r="J108" s="126"/>
      <c r="K108" s="127"/>
    </row>
    <row r="109" spans="1:9" s="64" customFormat="1" ht="12.75">
      <c r="A109" s="60" t="s">
        <v>149</v>
      </c>
      <c r="B109" s="61"/>
      <c r="C109" s="61"/>
      <c r="D109" s="61"/>
      <c r="E109" s="62"/>
      <c r="F109" s="62"/>
      <c r="G109" s="62"/>
      <c r="H109" s="57"/>
      <c r="I109" s="63"/>
    </row>
    <row r="110" spans="1:9" s="64" customFormat="1" ht="18" customHeight="1">
      <c r="A110" s="134" t="s">
        <v>150</v>
      </c>
      <c r="B110" s="135"/>
      <c r="C110" s="135"/>
      <c r="D110" s="135"/>
      <c r="E110" s="135"/>
      <c r="F110" s="135"/>
      <c r="G110" s="136"/>
      <c r="H110" s="50">
        <v>0</v>
      </c>
      <c r="I110" s="63"/>
    </row>
    <row r="111" spans="1:9" s="64" customFormat="1" ht="18" customHeight="1">
      <c r="A111" s="60" t="s">
        <v>151</v>
      </c>
      <c r="B111" s="61"/>
      <c r="C111" s="61"/>
      <c r="D111" s="61"/>
      <c r="E111" s="62"/>
      <c r="F111" s="62"/>
      <c r="G111" s="62"/>
      <c r="H111" s="57"/>
      <c r="I111" s="63"/>
    </row>
    <row r="112" spans="1:9" s="64" customFormat="1" ht="18" customHeight="1">
      <c r="A112" s="137" t="s">
        <v>192</v>
      </c>
      <c r="B112" s="61"/>
      <c r="C112" s="61"/>
      <c r="D112" s="61"/>
      <c r="E112" s="137" t="s">
        <v>152</v>
      </c>
      <c r="F112" s="138">
        <v>1</v>
      </c>
      <c r="G112" s="138">
        <v>6432.7</v>
      </c>
      <c r="H112" s="58">
        <f>G112*F112</f>
        <v>6432.7</v>
      </c>
      <c r="I112" s="63"/>
    </row>
    <row r="113" spans="1:10" s="64" customFormat="1" ht="18" customHeight="1">
      <c r="A113" s="134" t="s">
        <v>153</v>
      </c>
      <c r="B113" s="135"/>
      <c r="C113" s="135"/>
      <c r="D113" s="135"/>
      <c r="E113" s="135"/>
      <c r="F113" s="135"/>
      <c r="G113" s="136"/>
      <c r="H113" s="50">
        <f>SUM(H112)</f>
        <v>6432.7</v>
      </c>
      <c r="I113" s="139"/>
      <c r="J113" s="127"/>
    </row>
    <row r="114" spans="1:9" s="64" customFormat="1" ht="18" customHeight="1">
      <c r="A114" s="60" t="s">
        <v>154</v>
      </c>
      <c r="B114" s="61"/>
      <c r="C114" s="61"/>
      <c r="D114" s="61"/>
      <c r="E114" s="62"/>
      <c r="F114" s="62"/>
      <c r="G114" s="62"/>
      <c r="H114" s="57"/>
      <c r="I114" s="63"/>
    </row>
    <row r="115" spans="1:9" s="64" customFormat="1" ht="18" customHeight="1">
      <c r="A115" s="134" t="s">
        <v>155</v>
      </c>
      <c r="B115" s="135"/>
      <c r="C115" s="135"/>
      <c r="D115" s="135"/>
      <c r="E115" s="135"/>
      <c r="F115" s="135"/>
      <c r="G115" s="136"/>
      <c r="H115" s="50">
        <v>0</v>
      </c>
      <c r="I115" s="139"/>
    </row>
    <row r="116" spans="1:9" s="64" customFormat="1" ht="18" customHeight="1">
      <c r="A116" s="60" t="s">
        <v>156</v>
      </c>
      <c r="B116" s="61"/>
      <c r="C116" s="61"/>
      <c r="D116" s="61"/>
      <c r="E116" s="62"/>
      <c r="F116" s="62"/>
      <c r="G116" s="62"/>
      <c r="H116" s="57"/>
      <c r="I116" s="63"/>
    </row>
    <row r="117" spans="1:9" s="64" customFormat="1" ht="18" customHeight="1">
      <c r="A117" s="137" t="s">
        <v>193</v>
      </c>
      <c r="B117" s="61"/>
      <c r="C117" s="61"/>
      <c r="D117" s="61"/>
      <c r="E117" s="137" t="s">
        <v>152</v>
      </c>
      <c r="F117" s="138">
        <v>2</v>
      </c>
      <c r="G117" s="138">
        <v>54.31</v>
      </c>
      <c r="H117" s="58">
        <f aca="true" t="shared" si="6" ref="H117:H124">G117*F117</f>
        <v>108.62</v>
      </c>
      <c r="I117" s="63"/>
    </row>
    <row r="118" spans="1:9" s="64" customFormat="1" ht="18" customHeight="1">
      <c r="A118" s="137" t="s">
        <v>194</v>
      </c>
      <c r="B118" s="61"/>
      <c r="C118" s="61"/>
      <c r="D118" s="61"/>
      <c r="E118" s="137" t="s">
        <v>152</v>
      </c>
      <c r="F118" s="138">
        <v>4</v>
      </c>
      <c r="G118" s="138">
        <v>291.37</v>
      </c>
      <c r="H118" s="58">
        <f t="shared" si="6"/>
        <v>1165.48</v>
      </c>
      <c r="I118" s="63"/>
    </row>
    <row r="119" spans="1:9" s="64" customFormat="1" ht="18" customHeight="1">
      <c r="A119" s="137" t="s">
        <v>195</v>
      </c>
      <c r="B119" s="61"/>
      <c r="C119" s="61"/>
      <c r="D119" s="61"/>
      <c r="E119" s="137" t="s">
        <v>152</v>
      </c>
      <c r="F119" s="138">
        <v>10</v>
      </c>
      <c r="G119" s="138">
        <v>276.41</v>
      </c>
      <c r="H119" s="58">
        <f t="shared" si="6"/>
        <v>2764.1000000000004</v>
      </c>
      <c r="I119" s="63"/>
    </row>
    <row r="120" spans="1:9" s="64" customFormat="1" ht="18" customHeight="1">
      <c r="A120" s="137" t="s">
        <v>196</v>
      </c>
      <c r="B120" s="61"/>
      <c r="C120" s="61"/>
      <c r="D120" s="61"/>
      <c r="E120" s="137" t="s">
        <v>152</v>
      </c>
      <c r="F120" s="138">
        <v>3</v>
      </c>
      <c r="G120" s="138">
        <v>73.42</v>
      </c>
      <c r="H120" s="58">
        <f t="shared" si="6"/>
        <v>220.26</v>
      </c>
      <c r="I120" s="63"/>
    </row>
    <row r="121" spans="1:9" s="64" customFormat="1" ht="18" customHeight="1">
      <c r="A121" s="137" t="s">
        <v>197</v>
      </c>
      <c r="B121" s="61"/>
      <c r="C121" s="61"/>
      <c r="D121" s="61"/>
      <c r="E121" s="137" t="s">
        <v>152</v>
      </c>
      <c r="F121" s="138">
        <v>3</v>
      </c>
      <c r="G121" s="138">
        <v>134.05</v>
      </c>
      <c r="H121" s="58">
        <f t="shared" si="6"/>
        <v>402.15000000000003</v>
      </c>
      <c r="I121" s="63"/>
    </row>
    <row r="122" spans="1:9" s="64" customFormat="1" ht="18" customHeight="1">
      <c r="A122" s="137" t="s">
        <v>197</v>
      </c>
      <c r="B122" s="61"/>
      <c r="C122" s="61"/>
      <c r="D122" s="61"/>
      <c r="E122" s="137" t="s">
        <v>152</v>
      </c>
      <c r="F122" s="138">
        <v>10</v>
      </c>
      <c r="G122" s="138">
        <v>143.64</v>
      </c>
      <c r="H122" s="58">
        <f t="shared" si="6"/>
        <v>1436.3999999999999</v>
      </c>
      <c r="I122" s="63"/>
    </row>
    <row r="123" spans="1:9" s="64" customFormat="1" ht="18" customHeight="1">
      <c r="A123" s="137" t="s">
        <v>198</v>
      </c>
      <c r="B123" s="61"/>
      <c r="C123" s="61"/>
      <c r="D123" s="61"/>
      <c r="E123" s="140" t="s">
        <v>152</v>
      </c>
      <c r="F123" s="141">
        <v>8</v>
      </c>
      <c r="G123" s="141">
        <v>69.77</v>
      </c>
      <c r="H123" s="58">
        <f t="shared" si="6"/>
        <v>558.16</v>
      </c>
      <c r="I123" s="63"/>
    </row>
    <row r="124" spans="1:9" s="64" customFormat="1" ht="18" customHeight="1">
      <c r="A124" s="137" t="s">
        <v>199</v>
      </c>
      <c r="B124" s="61"/>
      <c r="C124" s="61"/>
      <c r="D124" s="61"/>
      <c r="E124" s="140" t="s">
        <v>152</v>
      </c>
      <c r="F124" s="141">
        <v>3</v>
      </c>
      <c r="G124" s="141">
        <v>9</v>
      </c>
      <c r="H124" s="58">
        <f t="shared" si="6"/>
        <v>27</v>
      </c>
      <c r="I124" s="63"/>
    </row>
    <row r="125" spans="1:9" s="64" customFormat="1" ht="18" customHeight="1">
      <c r="A125" s="134" t="s">
        <v>157</v>
      </c>
      <c r="B125" s="135"/>
      <c r="C125" s="135"/>
      <c r="D125" s="135"/>
      <c r="E125" s="135"/>
      <c r="F125" s="135"/>
      <c r="G125" s="136"/>
      <c r="H125" s="50">
        <f>SUM(H117:H124)</f>
        <v>6682.169999999999</v>
      </c>
      <c r="I125" s="139"/>
    </row>
    <row r="126" spans="1:9" s="64" customFormat="1" ht="18" customHeight="1">
      <c r="A126" s="60" t="s">
        <v>158</v>
      </c>
      <c r="B126" s="61"/>
      <c r="C126" s="61"/>
      <c r="D126" s="61"/>
      <c r="E126" s="62"/>
      <c r="F126" s="62"/>
      <c r="G126" s="62"/>
      <c r="H126" s="58" t="s">
        <v>159</v>
      </c>
      <c r="I126" s="63"/>
    </row>
    <row r="127" spans="1:9" s="64" customFormat="1" ht="18" customHeight="1">
      <c r="A127" s="142" t="s">
        <v>200</v>
      </c>
      <c r="B127" s="61"/>
      <c r="C127" s="61"/>
      <c r="D127" s="61"/>
      <c r="E127" s="140" t="s">
        <v>152</v>
      </c>
      <c r="F127" s="141">
        <v>3</v>
      </c>
      <c r="G127" s="141">
        <v>34.47</v>
      </c>
      <c r="H127" s="58">
        <f>G127*F127</f>
        <v>103.41</v>
      </c>
      <c r="I127" s="63"/>
    </row>
    <row r="128" spans="1:9" s="64" customFormat="1" ht="18" customHeight="1">
      <c r="A128" s="137" t="s">
        <v>201</v>
      </c>
      <c r="B128" s="61"/>
      <c r="C128" s="61"/>
      <c r="D128" s="61"/>
      <c r="E128" s="137" t="s">
        <v>152</v>
      </c>
      <c r="F128" s="138">
        <v>1</v>
      </c>
      <c r="G128" s="138">
        <v>48.37</v>
      </c>
      <c r="H128" s="58">
        <f>G128*F128</f>
        <v>48.37</v>
      </c>
      <c r="I128" s="63"/>
    </row>
    <row r="129" spans="1:9" s="64" customFormat="1" ht="18" customHeight="1">
      <c r="A129" s="137" t="s">
        <v>195</v>
      </c>
      <c r="B129" s="61"/>
      <c r="C129" s="61"/>
      <c r="D129" s="61"/>
      <c r="E129" s="137" t="s">
        <v>152</v>
      </c>
      <c r="F129" s="138">
        <v>3</v>
      </c>
      <c r="G129" s="138">
        <v>276.41</v>
      </c>
      <c r="H129" s="58">
        <f>G129*F129</f>
        <v>829.23</v>
      </c>
      <c r="I129" s="63"/>
    </row>
    <row r="130" spans="1:9" s="64" customFormat="1" ht="18" customHeight="1">
      <c r="A130" s="137" t="s">
        <v>202</v>
      </c>
      <c r="B130" s="61"/>
      <c r="C130" s="61"/>
      <c r="D130" s="61"/>
      <c r="E130" s="137" t="s">
        <v>152</v>
      </c>
      <c r="F130" s="138">
        <v>1</v>
      </c>
      <c r="G130" s="138">
        <v>78.1</v>
      </c>
      <c r="H130" s="58">
        <f>G130*F130</f>
        <v>78.1</v>
      </c>
      <c r="I130" s="63"/>
    </row>
    <row r="131" spans="1:9" s="64" customFormat="1" ht="18" customHeight="1">
      <c r="A131" s="142" t="s">
        <v>203</v>
      </c>
      <c r="B131" s="61"/>
      <c r="C131" s="61"/>
      <c r="D131" s="61"/>
      <c r="E131" s="137" t="s">
        <v>164</v>
      </c>
      <c r="F131" s="138">
        <v>18.75</v>
      </c>
      <c r="G131" s="141">
        <v>9.7</v>
      </c>
      <c r="H131" s="58">
        <f>G131*F131</f>
        <v>181.875</v>
      </c>
      <c r="I131" s="63"/>
    </row>
    <row r="132" spans="1:9" s="64" customFormat="1" ht="12.75">
      <c r="A132" s="134" t="s">
        <v>160</v>
      </c>
      <c r="B132" s="135"/>
      <c r="C132" s="135"/>
      <c r="D132" s="135"/>
      <c r="E132" s="135"/>
      <c r="F132" s="135"/>
      <c r="G132" s="136"/>
      <c r="H132" s="50">
        <f>SUM(H127:H131)</f>
        <v>1240.985</v>
      </c>
      <c r="I132" s="63"/>
    </row>
    <row r="133" spans="1:9" s="64" customFormat="1" ht="12.75">
      <c r="A133" s="60" t="s">
        <v>161</v>
      </c>
      <c r="B133" s="61"/>
      <c r="C133" s="61"/>
      <c r="D133" s="61"/>
      <c r="E133" s="62"/>
      <c r="F133" s="62"/>
      <c r="G133" s="62"/>
      <c r="H133" s="58" t="s">
        <v>159</v>
      </c>
      <c r="I133" s="63"/>
    </row>
    <row r="134" spans="1:9" s="64" customFormat="1" ht="12.75">
      <c r="A134" s="134" t="s">
        <v>162</v>
      </c>
      <c r="B134" s="135"/>
      <c r="C134" s="135"/>
      <c r="D134" s="135"/>
      <c r="E134" s="135"/>
      <c r="F134" s="135"/>
      <c r="G134" s="136"/>
      <c r="H134" s="50">
        <v>0</v>
      </c>
      <c r="I134" s="63"/>
    </row>
    <row r="135" spans="1:9" s="64" customFormat="1" ht="12.75">
      <c r="A135" s="60" t="s">
        <v>163</v>
      </c>
      <c r="B135" s="61"/>
      <c r="C135" s="61"/>
      <c r="D135" s="61"/>
      <c r="E135" s="62"/>
      <c r="F135" s="62"/>
      <c r="G135" s="62"/>
      <c r="H135" s="58"/>
      <c r="I135" s="63"/>
    </row>
    <row r="136" spans="1:9" s="64" customFormat="1" ht="12.75">
      <c r="A136" s="137" t="s">
        <v>204</v>
      </c>
      <c r="B136" s="61"/>
      <c r="C136" s="61"/>
      <c r="D136" s="61"/>
      <c r="E136" s="137" t="s">
        <v>205</v>
      </c>
      <c r="F136" s="141">
        <v>0.06</v>
      </c>
      <c r="G136" s="62">
        <v>78</v>
      </c>
      <c r="H136" s="141">
        <v>5364.33</v>
      </c>
      <c r="I136" s="63"/>
    </row>
    <row r="137" spans="1:9" s="64" customFormat="1" ht="12.75">
      <c r="A137" s="137" t="s">
        <v>206</v>
      </c>
      <c r="B137" s="61"/>
      <c r="C137" s="61"/>
      <c r="D137" s="61"/>
      <c r="E137" s="62" t="s">
        <v>152</v>
      </c>
      <c r="F137" s="62">
        <v>1</v>
      </c>
      <c r="G137" s="62">
        <v>125</v>
      </c>
      <c r="H137" s="58">
        <f>G137*F137</f>
        <v>125</v>
      </c>
      <c r="I137" s="63"/>
    </row>
    <row r="138" spans="1:9" s="64" customFormat="1" ht="12.75">
      <c r="A138" s="137" t="s">
        <v>207</v>
      </c>
      <c r="B138" s="61"/>
      <c r="C138" s="61"/>
      <c r="D138" s="61"/>
      <c r="E138" s="137" t="s">
        <v>152</v>
      </c>
      <c r="F138" s="141">
        <v>20</v>
      </c>
      <c r="G138" s="141">
        <v>9.12</v>
      </c>
      <c r="H138" s="58">
        <f>G138*F138</f>
        <v>182.39999999999998</v>
      </c>
      <c r="I138" s="63"/>
    </row>
    <row r="139" spans="1:9" s="64" customFormat="1" ht="12.75">
      <c r="A139" s="134" t="s">
        <v>165</v>
      </c>
      <c r="B139" s="135"/>
      <c r="C139" s="135"/>
      <c r="D139" s="135"/>
      <c r="E139" s="135"/>
      <c r="F139" s="135"/>
      <c r="G139" s="136"/>
      <c r="H139" s="50">
        <f>SUM(H136:H138)</f>
        <v>5671.73</v>
      </c>
      <c r="I139" s="63"/>
    </row>
    <row r="140" spans="1:9" s="64" customFormat="1" ht="12.75">
      <c r="A140" s="60" t="s">
        <v>166</v>
      </c>
      <c r="B140" s="61"/>
      <c r="C140" s="61"/>
      <c r="D140" s="61"/>
      <c r="E140" s="62"/>
      <c r="F140" s="62"/>
      <c r="G140" s="62"/>
      <c r="H140" s="58"/>
      <c r="I140" s="63"/>
    </row>
    <row r="141" spans="1:9" s="64" customFormat="1" ht="12.75">
      <c r="A141" s="137" t="s">
        <v>208</v>
      </c>
      <c r="B141" s="61"/>
      <c r="C141" s="61"/>
      <c r="D141" s="61"/>
      <c r="E141" s="137" t="s">
        <v>152</v>
      </c>
      <c r="F141" s="141">
        <v>1</v>
      </c>
      <c r="G141" s="141">
        <v>104</v>
      </c>
      <c r="H141" s="58">
        <f>G141*F141</f>
        <v>104</v>
      </c>
      <c r="I141" s="63"/>
    </row>
    <row r="142" spans="1:9" s="64" customFormat="1" ht="12.75">
      <c r="A142" s="134" t="s">
        <v>167</v>
      </c>
      <c r="B142" s="135"/>
      <c r="C142" s="135"/>
      <c r="D142" s="135"/>
      <c r="E142" s="135"/>
      <c r="F142" s="135"/>
      <c r="G142" s="136"/>
      <c r="H142" s="50">
        <f>SUM(H141:H141)</f>
        <v>104</v>
      </c>
      <c r="I142" s="63"/>
    </row>
    <row r="143" spans="1:9" s="64" customFormat="1" ht="12.75">
      <c r="A143" s="60" t="s">
        <v>168</v>
      </c>
      <c r="B143" s="61"/>
      <c r="C143" s="61"/>
      <c r="D143" s="61"/>
      <c r="E143" s="62"/>
      <c r="F143" s="62"/>
      <c r="G143" s="62"/>
      <c r="H143" s="58"/>
      <c r="I143" s="63"/>
    </row>
    <row r="144" spans="1:9" s="64" customFormat="1" ht="12.75">
      <c r="A144" s="134" t="s">
        <v>169</v>
      </c>
      <c r="B144" s="135"/>
      <c r="C144" s="135"/>
      <c r="D144" s="135"/>
      <c r="E144" s="135"/>
      <c r="F144" s="135"/>
      <c r="G144" s="136"/>
      <c r="H144" s="50">
        <v>0</v>
      </c>
      <c r="I144" s="139"/>
    </row>
    <row r="145" spans="1:9" s="64" customFormat="1" ht="12" customHeight="1">
      <c r="A145" s="60" t="s">
        <v>170</v>
      </c>
      <c r="B145" s="61"/>
      <c r="C145" s="61"/>
      <c r="D145" s="61"/>
      <c r="E145" s="62"/>
      <c r="F145" s="62"/>
      <c r="G145" s="62"/>
      <c r="H145" s="58"/>
      <c r="I145" s="63"/>
    </row>
    <row r="146" spans="1:9" s="64" customFormat="1" ht="12.75">
      <c r="A146" s="143" t="s">
        <v>209</v>
      </c>
      <c r="B146" s="61"/>
      <c r="C146" s="61"/>
      <c r="D146" s="61"/>
      <c r="E146" s="143" t="s">
        <v>152</v>
      </c>
      <c r="F146" s="144">
        <v>1</v>
      </c>
      <c r="G146" s="144">
        <v>68</v>
      </c>
      <c r="H146" s="58">
        <f aca="true" t="shared" si="7" ref="H146:H152">G146*F146</f>
        <v>68</v>
      </c>
      <c r="I146" s="63"/>
    </row>
    <row r="147" spans="1:9" s="64" customFormat="1" ht="12.75">
      <c r="A147" s="143" t="s">
        <v>210</v>
      </c>
      <c r="B147" s="61"/>
      <c r="C147" s="61"/>
      <c r="D147" s="61"/>
      <c r="E147" s="143" t="s">
        <v>152</v>
      </c>
      <c r="F147" s="144">
        <v>2</v>
      </c>
      <c r="G147" s="144">
        <v>9.5</v>
      </c>
      <c r="H147" s="58">
        <f t="shared" si="7"/>
        <v>19</v>
      </c>
      <c r="I147" s="63"/>
    </row>
    <row r="148" spans="1:9" s="64" customFormat="1" ht="12.75">
      <c r="A148" s="143" t="s">
        <v>211</v>
      </c>
      <c r="B148" s="61"/>
      <c r="C148" s="61"/>
      <c r="D148" s="61"/>
      <c r="E148" s="143" t="s">
        <v>171</v>
      </c>
      <c r="F148" s="144">
        <v>2</v>
      </c>
      <c r="G148" s="144">
        <v>146.6</v>
      </c>
      <c r="H148" s="58">
        <f t="shared" si="7"/>
        <v>293.2</v>
      </c>
      <c r="I148" s="63"/>
    </row>
    <row r="149" spans="1:9" s="64" customFormat="1" ht="12.75">
      <c r="A149" s="143" t="s">
        <v>212</v>
      </c>
      <c r="B149" s="61"/>
      <c r="C149" s="61"/>
      <c r="D149" s="61"/>
      <c r="E149" s="143" t="s">
        <v>164</v>
      </c>
      <c r="F149" s="144">
        <v>15</v>
      </c>
      <c r="G149" s="144">
        <v>14.2</v>
      </c>
      <c r="H149" s="58">
        <f t="shared" si="7"/>
        <v>213</v>
      </c>
      <c r="I149" s="63"/>
    </row>
    <row r="150" spans="1:9" s="64" customFormat="1" ht="12.75">
      <c r="A150" s="143" t="s">
        <v>207</v>
      </c>
      <c r="B150" s="61"/>
      <c r="C150" s="61"/>
      <c r="D150" s="61"/>
      <c r="E150" s="143" t="s">
        <v>164</v>
      </c>
      <c r="F150" s="144">
        <v>30</v>
      </c>
      <c r="G150" s="144">
        <v>13.85</v>
      </c>
      <c r="H150" s="58">
        <f t="shared" si="7"/>
        <v>415.5</v>
      </c>
      <c r="I150" s="63"/>
    </row>
    <row r="151" spans="1:9" s="64" customFormat="1" ht="12.75">
      <c r="A151" s="143" t="s">
        <v>213</v>
      </c>
      <c r="B151" s="61"/>
      <c r="C151" s="61"/>
      <c r="D151" s="61"/>
      <c r="E151" s="143" t="s">
        <v>164</v>
      </c>
      <c r="F151" s="144">
        <v>20</v>
      </c>
      <c r="G151" s="144">
        <v>20.63</v>
      </c>
      <c r="H151" s="58">
        <f t="shared" si="7"/>
        <v>412.59999999999997</v>
      </c>
      <c r="I151" s="63"/>
    </row>
    <row r="152" spans="1:9" s="64" customFormat="1" ht="12.75">
      <c r="A152" s="143" t="s">
        <v>204</v>
      </c>
      <c r="B152" s="61"/>
      <c r="C152" s="61"/>
      <c r="D152" s="61"/>
      <c r="E152" s="143" t="s">
        <v>164</v>
      </c>
      <c r="F152" s="144">
        <v>50</v>
      </c>
      <c r="G152" s="144">
        <v>8.46</v>
      </c>
      <c r="H152" s="58">
        <f t="shared" si="7"/>
        <v>423.00000000000006</v>
      </c>
      <c r="I152" s="63"/>
    </row>
    <row r="153" spans="1:9" s="64" customFormat="1" ht="12.75">
      <c r="A153" s="134" t="s">
        <v>172</v>
      </c>
      <c r="B153" s="135"/>
      <c r="C153" s="135"/>
      <c r="D153" s="135"/>
      <c r="E153" s="135"/>
      <c r="F153" s="135"/>
      <c r="G153" s="136"/>
      <c r="H153" s="50">
        <f>SUM(H146:H152)</f>
        <v>1844.3</v>
      </c>
      <c r="I153" s="63"/>
    </row>
    <row r="154" spans="1:9" s="64" customFormat="1" ht="12.75">
      <c r="A154" s="60" t="s">
        <v>173</v>
      </c>
      <c r="B154" s="61"/>
      <c r="C154" s="61"/>
      <c r="D154" s="61"/>
      <c r="E154" s="62"/>
      <c r="F154" s="62"/>
      <c r="G154" s="62"/>
      <c r="H154" s="58"/>
      <c r="I154" s="63"/>
    </row>
    <row r="155" spans="1:9" s="64" customFormat="1" ht="12.75">
      <c r="A155" s="143" t="s">
        <v>214</v>
      </c>
      <c r="B155" s="61"/>
      <c r="C155" s="61"/>
      <c r="D155" s="61"/>
      <c r="E155" s="143" t="s">
        <v>152</v>
      </c>
      <c r="F155" s="144">
        <v>2</v>
      </c>
      <c r="G155" s="144">
        <v>84.15</v>
      </c>
      <c r="H155" s="58">
        <f>G155*F155</f>
        <v>168.3</v>
      </c>
      <c r="I155" s="63"/>
    </row>
    <row r="156" spans="1:9" s="64" customFormat="1" ht="12.75">
      <c r="A156" s="143" t="s">
        <v>215</v>
      </c>
      <c r="B156" s="61"/>
      <c r="C156" s="61"/>
      <c r="D156" s="61"/>
      <c r="E156" s="143" t="s">
        <v>152</v>
      </c>
      <c r="F156" s="144">
        <v>3</v>
      </c>
      <c r="G156" s="144">
        <v>11.04</v>
      </c>
      <c r="H156" s="58">
        <f>G156*F156</f>
        <v>33.12</v>
      </c>
      <c r="I156" s="63"/>
    </row>
    <row r="157" spans="1:9" s="64" customFormat="1" ht="12.75">
      <c r="A157" s="143" t="s">
        <v>216</v>
      </c>
      <c r="B157" s="61"/>
      <c r="C157" s="61"/>
      <c r="D157" s="61"/>
      <c r="E157" s="143" t="s">
        <v>178</v>
      </c>
      <c r="F157" s="144">
        <v>4</v>
      </c>
      <c r="G157" s="144">
        <v>825.39</v>
      </c>
      <c r="H157" s="58">
        <f>G157*F157</f>
        <v>3301.56</v>
      </c>
      <c r="I157" s="63"/>
    </row>
    <row r="158" spans="1:9" s="64" customFormat="1" ht="12.75">
      <c r="A158" s="143" t="s">
        <v>217</v>
      </c>
      <c r="B158" s="61"/>
      <c r="C158" s="61"/>
      <c r="D158" s="61"/>
      <c r="E158" s="143" t="s">
        <v>152</v>
      </c>
      <c r="F158" s="144">
        <v>2</v>
      </c>
      <c r="G158" s="144">
        <v>8.36</v>
      </c>
      <c r="H158" s="58">
        <f>G158*F158</f>
        <v>16.72</v>
      </c>
      <c r="I158" s="63"/>
    </row>
    <row r="159" spans="1:9" s="64" customFormat="1" ht="12.75">
      <c r="A159" s="134" t="s">
        <v>174</v>
      </c>
      <c r="B159" s="135"/>
      <c r="C159" s="135"/>
      <c r="D159" s="135"/>
      <c r="E159" s="135"/>
      <c r="F159" s="135"/>
      <c r="G159" s="136"/>
      <c r="H159" s="50">
        <f>SUM(H155:H158)</f>
        <v>3519.7</v>
      </c>
      <c r="I159" s="139"/>
    </row>
    <row r="160" spans="1:9" s="64" customFormat="1" ht="12.75">
      <c r="A160" s="60" t="s">
        <v>175</v>
      </c>
      <c r="B160" s="61"/>
      <c r="C160" s="61"/>
      <c r="D160" s="61"/>
      <c r="E160" s="62"/>
      <c r="F160" s="62"/>
      <c r="G160" s="62"/>
      <c r="H160" s="58"/>
      <c r="I160" s="63"/>
    </row>
    <row r="161" spans="1:9" s="64" customFormat="1" ht="12.75">
      <c r="A161" s="134" t="s">
        <v>176</v>
      </c>
      <c r="B161" s="135"/>
      <c r="C161" s="135"/>
      <c r="D161" s="135"/>
      <c r="E161" s="135"/>
      <c r="F161" s="135"/>
      <c r="G161" s="136"/>
      <c r="H161" s="50">
        <f>F160*G160</f>
        <v>0</v>
      </c>
      <c r="I161" s="139"/>
    </row>
    <row r="162" spans="1:9" s="150" customFormat="1" ht="12.75">
      <c r="A162" s="145" t="s">
        <v>188</v>
      </c>
      <c r="B162" s="146"/>
      <c r="C162" s="146"/>
      <c r="D162" s="146"/>
      <c r="E162" s="147"/>
      <c r="F162" s="147"/>
      <c r="G162" s="147"/>
      <c r="H162" s="148">
        <v>19520</v>
      </c>
      <c r="I162" s="149"/>
    </row>
    <row r="163" spans="1:10" s="64" customFormat="1" ht="12.75">
      <c r="A163" s="151" t="s">
        <v>177</v>
      </c>
      <c r="B163" s="152"/>
      <c r="C163" s="152"/>
      <c r="D163" s="152"/>
      <c r="E163" s="152"/>
      <c r="F163" s="152"/>
      <c r="G163" s="153"/>
      <c r="H163" s="50">
        <f>+H162+H159+H153+H142+H139+H132+H125+H113</f>
        <v>45015.585</v>
      </c>
      <c r="I163" s="63"/>
      <c r="J163" s="127"/>
    </row>
    <row r="164" spans="8:9" s="64" customFormat="1" ht="12.75">
      <c r="H164" s="127"/>
      <c r="I164" s="63"/>
    </row>
    <row r="165" spans="8:9" s="64" customFormat="1" ht="12.75">
      <c r="H165" s="127"/>
      <c r="I165" s="63"/>
    </row>
  </sheetData>
  <sheetProtection/>
  <mergeCells count="175">
    <mergeCell ref="K7:K8"/>
    <mergeCell ref="A8:B8"/>
    <mergeCell ref="D8:F8"/>
    <mergeCell ref="A1:G1"/>
    <mergeCell ref="G3:G5"/>
    <mergeCell ref="H3:H5"/>
    <mergeCell ref="I4:J5"/>
    <mergeCell ref="A7:B7"/>
    <mergeCell ref="D7:F7"/>
    <mergeCell ref="I7:J8"/>
    <mergeCell ref="K10:K12"/>
    <mergeCell ref="A11:B11"/>
    <mergeCell ref="D11:F11"/>
    <mergeCell ref="A12:B12"/>
    <mergeCell ref="I10:J12"/>
    <mergeCell ref="A110:G110"/>
    <mergeCell ref="A10:B10"/>
    <mergeCell ref="D10:F10"/>
    <mergeCell ref="A13:B13"/>
    <mergeCell ref="D13:F13"/>
    <mergeCell ref="F22:H22"/>
    <mergeCell ref="A24:B24"/>
    <mergeCell ref="C24:E24"/>
    <mergeCell ref="F24:H24"/>
    <mergeCell ref="A25:B25"/>
    <mergeCell ref="A9:B9"/>
    <mergeCell ref="D9:F9"/>
    <mergeCell ref="D12:F12"/>
    <mergeCell ref="A18:B19"/>
    <mergeCell ref="C18:E18"/>
    <mergeCell ref="F18:H18"/>
    <mergeCell ref="C19:D19"/>
    <mergeCell ref="F19:G19"/>
    <mergeCell ref="D14:F14"/>
    <mergeCell ref="K14:K15"/>
    <mergeCell ref="I15:J15"/>
    <mergeCell ref="A23:B23"/>
    <mergeCell ref="C23:E23"/>
    <mergeCell ref="F23:H23"/>
    <mergeCell ref="A20:B20"/>
    <mergeCell ref="C20:D20"/>
    <mergeCell ref="F20:G20"/>
    <mergeCell ref="C22:E22"/>
    <mergeCell ref="C25:E25"/>
    <mergeCell ref="F25:H25"/>
    <mergeCell ref="A26:B26"/>
    <mergeCell ref="C26:E26"/>
    <mergeCell ref="F26:H26"/>
    <mergeCell ref="A27:B27"/>
    <mergeCell ref="C27:E27"/>
    <mergeCell ref="F27:H27"/>
    <mergeCell ref="A28:B28"/>
    <mergeCell ref="C28:E28"/>
    <mergeCell ref="F28:H28"/>
    <mergeCell ref="A29:B29"/>
    <mergeCell ref="C29:E29"/>
    <mergeCell ref="F29:H29"/>
    <mergeCell ref="F33:H33"/>
    <mergeCell ref="A30:B30"/>
    <mergeCell ref="C30:E30"/>
    <mergeCell ref="F30:H30"/>
    <mergeCell ref="A31:B31"/>
    <mergeCell ref="C31:E31"/>
    <mergeCell ref="F31:H31"/>
    <mergeCell ref="A34:B34"/>
    <mergeCell ref="C34:E34"/>
    <mergeCell ref="F34:H34"/>
    <mergeCell ref="A36:C36"/>
    <mergeCell ref="D36:J36"/>
    <mergeCell ref="A32:B32"/>
    <mergeCell ref="C32:E32"/>
    <mergeCell ref="F32:H32"/>
    <mergeCell ref="A33:B33"/>
    <mergeCell ref="C33:E33"/>
    <mergeCell ref="F37:J37"/>
    <mergeCell ref="A38:D39"/>
    <mergeCell ref="E38:E39"/>
    <mergeCell ref="F38:G38"/>
    <mergeCell ref="H38:H39"/>
    <mergeCell ref="I38:I39"/>
    <mergeCell ref="J38:J39"/>
    <mergeCell ref="A54:D54"/>
    <mergeCell ref="A55:D55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70:D70"/>
    <mergeCell ref="A71:D71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84:D84"/>
    <mergeCell ref="E84:H84"/>
    <mergeCell ref="A72:D72"/>
    <mergeCell ref="A73:D73"/>
    <mergeCell ref="A74:D74"/>
    <mergeCell ref="A75:D75"/>
    <mergeCell ref="A76:D76"/>
    <mergeCell ref="A77:D77"/>
    <mergeCell ref="A78:D78"/>
    <mergeCell ref="A79:D79"/>
    <mergeCell ref="A82:D82"/>
    <mergeCell ref="E82:H82"/>
    <mergeCell ref="A83:D83"/>
    <mergeCell ref="E83:H83"/>
    <mergeCell ref="E79:H79"/>
    <mergeCell ref="A80:D80"/>
    <mergeCell ref="E80:H80"/>
    <mergeCell ref="A81:D81"/>
    <mergeCell ref="E81:H81"/>
    <mergeCell ref="G102:H102"/>
    <mergeCell ref="A103:B103"/>
    <mergeCell ref="C103:D103"/>
    <mergeCell ref="C99:D99"/>
    <mergeCell ref="E99:F99"/>
    <mergeCell ref="G99:H99"/>
    <mergeCell ref="E88:H88"/>
    <mergeCell ref="A85:D85"/>
    <mergeCell ref="E85:H85"/>
    <mergeCell ref="A86:D86"/>
    <mergeCell ref="E86:H86"/>
    <mergeCell ref="A87:D87"/>
    <mergeCell ref="E87:H87"/>
    <mergeCell ref="A88:D88"/>
    <mergeCell ref="A93:I93"/>
    <mergeCell ref="A94:I94"/>
    <mergeCell ref="A95:I95"/>
    <mergeCell ref="A99:B99"/>
    <mergeCell ref="A98:B98"/>
    <mergeCell ref="A89:D89"/>
    <mergeCell ref="A90:D90"/>
    <mergeCell ref="A91:D91"/>
    <mergeCell ref="A92:I92"/>
    <mergeCell ref="A161:G161"/>
    <mergeCell ref="A105:E106"/>
    <mergeCell ref="A139:G139"/>
    <mergeCell ref="A142:G142"/>
    <mergeCell ref="A144:G144"/>
    <mergeCell ref="A153:G153"/>
    <mergeCell ref="A159:G159"/>
    <mergeCell ref="A132:G132"/>
    <mergeCell ref="A113:G113"/>
    <mergeCell ref="A134:G134"/>
    <mergeCell ref="A115:G115"/>
    <mergeCell ref="A125:G125"/>
    <mergeCell ref="C98:D98"/>
    <mergeCell ref="E98:F98"/>
    <mergeCell ref="G98:H98"/>
    <mergeCell ref="E103:F103"/>
    <mergeCell ref="G103:H103"/>
    <mergeCell ref="A102:B102"/>
    <mergeCell ref="C102:D102"/>
    <mergeCell ref="E102:F10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cp:lastPrinted>2010-06-16T08:12:47Z</cp:lastPrinted>
  <dcterms:created xsi:type="dcterms:W3CDTF">2009-12-21T08:51:14Z</dcterms:created>
  <dcterms:modified xsi:type="dcterms:W3CDTF">2013-02-23T15:10:24Z</dcterms:modified>
  <cp:category/>
  <cp:version/>
  <cp:contentType/>
  <cp:contentStatus/>
</cp:coreProperties>
</file>